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65" activeTab="0"/>
  </bookViews>
  <sheets>
    <sheet name="2019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<sst xmlns="http://schemas.openxmlformats.org/spreadsheetml/2006/main" count="133" uniqueCount="114">
  <si>
    <t>Ñ/Ñ</t>
  </si>
  <si>
    <t>N</t>
  </si>
  <si>
    <t>Դիմորդ</t>
  </si>
  <si>
    <t>Բանկոմատի շահագործում</t>
  </si>
  <si>
    <t>a</t>
  </si>
  <si>
    <t>b</t>
  </si>
  <si>
    <t>Հենակետային վարժարան</t>
  </si>
  <si>
    <t>Այլ մուտքեր</t>
  </si>
  <si>
    <t>ՈՒսման վճարներ առկա ուսուցումից</t>
  </si>
  <si>
    <t>Ուսման վճարներ հեռակա ուսուցումից</t>
  </si>
  <si>
    <t>Ուսման վճարներ մագիստրատուրայից</t>
  </si>
  <si>
    <t>Քոլեջ վճարովի</t>
  </si>
  <si>
    <t>(ընդամենը գումարը տառերով)</t>
  </si>
  <si>
    <t>Անվանումը</t>
  </si>
  <si>
    <t>Դեղորայք և վիրակապական նյութեր</t>
  </si>
  <si>
    <t>Սննդամթերք</t>
  </si>
  <si>
    <t>Այլ ծախսեր</t>
  </si>
  <si>
    <t>Գործուղումներ</t>
  </si>
  <si>
    <t>դրամաշնորհ</t>
  </si>
  <si>
    <t>Կապ</t>
  </si>
  <si>
    <t>Էլեկտրաէներգիա</t>
  </si>
  <si>
    <t>Ջրմուղ</t>
  </si>
  <si>
    <t>Այլ կոմունալ ծախսեր</t>
  </si>
  <si>
    <t>Հարկեր և տուրքեր</t>
  </si>
  <si>
    <t>Ներկայացուցչական ծախսեր</t>
  </si>
  <si>
    <t>Սարքեր և սարքավորումներ</t>
  </si>
  <si>
    <t>Կապիտալ ներդրումներ և շինարարություն</t>
  </si>
  <si>
    <t>Կրթաթոշակ</t>
  </si>
  <si>
    <t>Ընդամենը</t>
  </si>
  <si>
    <t>տնտես.</t>
  </si>
  <si>
    <t>հոդվածը</t>
  </si>
  <si>
    <t>քոլեջ</t>
  </si>
  <si>
    <t>վճարովի</t>
  </si>
  <si>
    <t>բյուջե</t>
  </si>
  <si>
    <t>վարժարան</t>
  </si>
  <si>
    <t>բուհ</t>
  </si>
  <si>
    <t>հազ. դրամ</t>
  </si>
  <si>
    <t>մամուլ</t>
  </si>
  <si>
    <t>գիրք  (դասագրքեր, ուսումնական ձեռնարկներ)</t>
  </si>
  <si>
    <t>դիպլոմներ</t>
  </si>
  <si>
    <t>ինտերնետ կապի համար</t>
  </si>
  <si>
    <t>սարքավորումների նորոգում և սպասարկում</t>
  </si>
  <si>
    <t>ուսանողական գիտական ընկերությանը</t>
  </si>
  <si>
    <t>ուսանողական խորհրդին</t>
  </si>
  <si>
    <t>ԸՆԴԱՄԵՆԸ</t>
  </si>
  <si>
    <t>այլ</t>
  </si>
  <si>
    <t>Պետական բյուջեից</t>
  </si>
  <si>
    <t>Գույք և սարքավորումներ</t>
  </si>
  <si>
    <t>կադրերի որակավորման բարձրացման,սեմինարների մասնակցության, ծրագրերի ձեռքբերման համար</t>
  </si>
  <si>
    <t>Տրանսպորտ, սպասարկում և փոխադրում</t>
  </si>
  <si>
    <t>տնտեսական ապրանքներ (հանդերձանք, անկողնային պարագաներ, ցուցանակ. ,լուսանկ. և այլն)</t>
  </si>
  <si>
    <t>տնտեսական նյութեր, սանհիգիենիկ պարագաներ</t>
  </si>
  <si>
    <t>նյութեր ուսումնական պրոցեսի համար, թունանյութեր, պարարտանյութեր, սպորտային պարագաներ</t>
  </si>
  <si>
    <t>տպագրական ծախսեր, այդ թվում ուսանողական տոմսեր, ստուգման գրքույկներ</t>
  </si>
  <si>
    <t>Հայցորդներ</t>
  </si>
  <si>
    <t>Մնացորդը տարեսկզբին, այդ թվում`</t>
  </si>
  <si>
    <t>գրենական պիտույքներ, թուղթ</t>
  </si>
  <si>
    <t>Համալսարան</t>
  </si>
  <si>
    <t>Քոլեջ</t>
  </si>
  <si>
    <t xml:space="preserve">Այլ (հոդվ., վարձ, արտաքին գրխ., ուսմ. վճ) </t>
  </si>
  <si>
    <t>Պատճենահանում, տեղեկանքներ</t>
  </si>
  <si>
    <t xml:space="preserve">ՎԱՆԱՁՈՐԻ  ՊԵՏԱԿԱՆ ՀԱՄԱԼՍԱՐԱՆ ՀԻՄՆԱԴՐԱՄԻ  </t>
  </si>
  <si>
    <t>պրակտիկաjի պայմանագրեր դպրոցներում և այլ հաստատություններում</t>
  </si>
  <si>
    <t>արտաքին գրախոսության ծառայությյուններ</t>
  </si>
  <si>
    <t>համակարգչային ծրագրային փաթեթներ և տեղեկատբական համակարգեր</t>
  </si>
  <si>
    <t>անշարժ գույքի, մարզադահլիճների վարձակալության պայմանագրեր</t>
  </si>
  <si>
    <t>ընթացիկ նորոգումների համար շինանյութ և ծառայություն</t>
  </si>
  <si>
    <t>այլ պայմանագրեր (գումարի վերադարձ, միջոցառումներ, գույքի գնահատում, թարգմանություններ և այլն)</t>
  </si>
  <si>
    <t>Բյուջետային և արտաբյուջետային միջոցների եկամուտների և ծախսերի</t>
  </si>
  <si>
    <t>պարտադիր բուժ զննություն, առողջապահական սոցծրագրեր, բժիշկ-մասնագետների ծառայություններ</t>
  </si>
  <si>
    <t>ֆինանսական գործունեության և դրամաշնորհների աուդիտ</t>
  </si>
  <si>
    <t>լրատվամիջոցներ, գովազդ, հայտարարություն</t>
  </si>
  <si>
    <t>Անաշխատունակության և մայրության նպաստ</t>
  </si>
  <si>
    <t>Աշխատավարձ և դրան հավասարեցված եկամուտներ</t>
  </si>
  <si>
    <t xml:space="preserve">Շնորհներ </t>
  </si>
  <si>
    <t>ՎՊՀ  հոգաբարձուների  խորհրդի  նախագահ`</t>
  </si>
  <si>
    <t>համալսարանի հավատարմագրման գործընթացի համար</t>
  </si>
  <si>
    <t>գրագողությունը հայտնաբերող առցանց էլեկտրոնային ծրագրերից օգտվելու համար</t>
  </si>
  <si>
    <t xml:space="preserve">                                                                                                                                                        Հաստատված  է  ՎՊՀ  հոգաբարձուների  խորհրդի</t>
  </si>
  <si>
    <t xml:space="preserve">Եկամուտներ </t>
  </si>
  <si>
    <t>Անձեռնմխելի գումար</t>
  </si>
  <si>
    <t>Շարունակական կրթություն</t>
  </si>
  <si>
    <t>ֆինանսական և ապահովագրական, շինարարությանը առնչվող,տեսչական, լիցենզիայի տրամադրման և այլն</t>
  </si>
  <si>
    <t>ՈՒթ հարյուր քսանվեց միլիոն հարյուր քսանվեց հազար երկու հարյուր ՀՀ դրամ</t>
  </si>
  <si>
    <t>Ծախսեր</t>
  </si>
  <si>
    <t>Հունվար</t>
  </si>
  <si>
    <t>%</t>
  </si>
  <si>
    <t>Տոկոս</t>
  </si>
  <si>
    <t>Փետրվար</t>
  </si>
  <si>
    <t>Մարտ</t>
  </si>
  <si>
    <t>պահուստային ֆոնդ</t>
  </si>
  <si>
    <t>դրամ</t>
  </si>
  <si>
    <t>արտ</t>
  </si>
  <si>
    <t>դրամ.</t>
  </si>
  <si>
    <t>ներքին</t>
  </si>
  <si>
    <t>Փետրվ.</t>
  </si>
  <si>
    <t>Ապրիլ</t>
  </si>
  <si>
    <t xml:space="preserve">Վառելիք </t>
  </si>
  <si>
    <t>հենակետային</t>
  </si>
  <si>
    <t>Ծանուցում</t>
  </si>
  <si>
    <t>Ուսման վճարներ առկա ուսուցումից՝</t>
  </si>
  <si>
    <t>19295 հազ դրամ</t>
  </si>
  <si>
    <t>3242,5 հազ դրամ</t>
  </si>
  <si>
    <t xml:space="preserve">ՈՒսման վճարներ հեռակա ուսուցումից՝ </t>
  </si>
  <si>
    <t>Ուսման վճարներ մագիստրատուրայից՝</t>
  </si>
  <si>
    <t>555 հազ դրամ</t>
  </si>
  <si>
    <t xml:space="preserve">Մասնավորապես պետական բյուջեից փետրվար,մարտ և ապրիլ ամիսներին ստացած գումարից 23092,5 հազ դրամը Պետական բյուջե տողից տեղափոխվել է </t>
  </si>
  <si>
    <t>Տեղափոխված գումարները պետական բյուջեից արտոնություն ունեցող սոցիալապես անապահով, սահմանամերձ բնակավայրերի բնակիչ ուսանողների ու Պատիվ ունեմ ծրագրի</t>
  </si>
  <si>
    <t>շրջանակներում բարձր ՄՈԳ ունեցող ուսանողների ուսման վճարի փոխհատուցման գումարիներն են:</t>
  </si>
  <si>
    <t xml:space="preserve">Ի փոփոխություն նախորդ հաշվետվության, այս ձևի մեջ նախորդ եռամսյակում պետական  բյուջեի հատկացումները բաշխված են ըստ ՎՊՀ բյուջեի համապատասխան տողերի: </t>
  </si>
  <si>
    <t>Քոլեջ պետական բյուջեից</t>
  </si>
  <si>
    <t xml:space="preserve"> այդ թվում պետբյուջեից (անապահով և սահմանամերձ բնակավայրերի ուսանողների ուսման վճ.-ի փոխհ.)</t>
  </si>
  <si>
    <t xml:space="preserve">2019 թ. ՀԱՄԱԽԱՌԸ  ՆԱԽԱՀԱՇԻՎ (ՓՈՓՈԽՎԱԾ) </t>
  </si>
  <si>
    <t>2019 թ.-ի  մարտի 24  թիվ   որոշմամբ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</si>
</sst>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0000"/>
    <numFmt numFmtId="191" formatCode="0.0"/>
    <numFmt numFmtId="192" formatCode="00000.0"/>
    <numFmt numFmtId="193" formatCode="00000.00"/>
    <numFmt numFmtId="194" formatCode="#,##0.0"/>
    <numFmt numFmtId="195" formatCode="0.000"/>
    <numFmt numFmtId="196" formatCode="0.0000"/>
    <numFmt numFmtId="197" formatCode="0.00000"/>
    <numFmt numFmtId="198" formatCode="0.0000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0"/>
  </numFmts>
  <fonts count="51">
    <font>
      <sz val="10"/>
      <name val="Arial"/>
      <family val="0"/>
    </font>
    <font>
      <sz val="10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b/>
      <sz val="10"/>
      <name val="Arial Armenian"/>
      <family val="2"/>
    </font>
    <font>
      <b/>
      <u val="single"/>
      <sz val="12"/>
      <name val="Arial Armenian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 Armenian"/>
      <family val="2"/>
    </font>
    <font>
      <b/>
      <sz val="9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3" fontId="3" fillId="0" borderId="0" xfId="0" applyNumberFormat="1" applyFont="1" applyFill="1" applyAlignment="1">
      <alignment horizontal="center"/>
    </xf>
    <xf numFmtId="194" fontId="3" fillId="0" borderId="0" xfId="0" applyNumberFormat="1" applyFont="1" applyFill="1" applyAlignment="1">
      <alignment horizontal="center"/>
    </xf>
    <xf numFmtId="194" fontId="3" fillId="0" borderId="0" xfId="0" applyNumberFormat="1" applyFont="1" applyFill="1" applyBorder="1" applyAlignment="1">
      <alignment horizontal="center"/>
    </xf>
    <xf numFmtId="194" fontId="4" fillId="0" borderId="0" xfId="0" applyNumberFormat="1" applyFont="1" applyFill="1" applyAlignment="1">
      <alignment horizontal="center"/>
    </xf>
    <xf numFmtId="194" fontId="2" fillId="0" borderId="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194" fontId="4" fillId="0" borderId="12" xfId="0" applyNumberFormat="1" applyFont="1" applyFill="1" applyBorder="1" applyAlignment="1">
      <alignment horizontal="center"/>
    </xf>
    <xf numFmtId="194" fontId="4" fillId="0" borderId="11" xfId="0" applyNumberFormat="1" applyFont="1" applyFill="1" applyBorder="1" applyAlignment="1">
      <alignment horizontal="center"/>
    </xf>
    <xf numFmtId="194" fontId="4" fillId="0" borderId="13" xfId="0" applyNumberFormat="1" applyFont="1" applyFill="1" applyBorder="1" applyAlignment="1">
      <alignment horizontal="center"/>
    </xf>
    <xf numFmtId="194" fontId="4" fillId="0" borderId="14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center"/>
    </xf>
    <xf numFmtId="194" fontId="0" fillId="0" borderId="18" xfId="0" applyNumberFormat="1" applyFont="1" applyFill="1" applyBorder="1" applyAlignment="1">
      <alignment/>
    </xf>
    <xf numFmtId="194" fontId="0" fillId="0" borderId="18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194" fontId="5" fillId="0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 horizontal="center"/>
    </xf>
    <xf numFmtId="19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194" fontId="0" fillId="0" borderId="0" xfId="0" applyNumberFormat="1" applyFont="1" applyFill="1" applyAlignment="1">
      <alignment/>
    </xf>
    <xf numFmtId="194" fontId="1" fillId="0" borderId="18" xfId="0" applyNumberFormat="1" applyFont="1" applyFill="1" applyBorder="1" applyAlignment="1">
      <alignment horizontal="center"/>
    </xf>
    <xf numFmtId="194" fontId="10" fillId="0" borderId="0" xfId="0" applyNumberFormat="1" applyFont="1" applyFill="1" applyAlignment="1">
      <alignment/>
    </xf>
    <xf numFmtId="194" fontId="1" fillId="0" borderId="0" xfId="0" applyNumberFormat="1" applyFont="1" applyFill="1" applyAlignment="1">
      <alignment horizontal="center"/>
    </xf>
    <xf numFmtId="194" fontId="5" fillId="0" borderId="0" xfId="0" applyNumberFormat="1" applyFont="1" applyFill="1" applyBorder="1" applyAlignment="1">
      <alignment horizontal="center"/>
    </xf>
    <xf numFmtId="3" fontId="8" fillId="0" borderId="18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 horizontal="center"/>
    </xf>
    <xf numFmtId="194" fontId="1" fillId="0" borderId="18" xfId="0" applyNumberFormat="1" applyFont="1" applyFill="1" applyBorder="1" applyAlignment="1">
      <alignment horizontal="center" vertical="center" textRotation="90"/>
    </xf>
    <xf numFmtId="194" fontId="0" fillId="0" borderId="0" xfId="0" applyNumberFormat="1" applyFont="1" applyFill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/>
    </xf>
    <xf numFmtId="194" fontId="4" fillId="0" borderId="20" xfId="0" applyNumberFormat="1" applyFont="1" applyFill="1" applyBorder="1" applyAlignment="1">
      <alignment horizontal="center"/>
    </xf>
    <xf numFmtId="194" fontId="5" fillId="0" borderId="18" xfId="0" applyNumberFormat="1" applyFont="1" applyFill="1" applyBorder="1" applyAlignment="1">
      <alignment horizontal="center"/>
    </xf>
    <xf numFmtId="3" fontId="3" fillId="0" borderId="18" xfId="0" applyNumberFormat="1" applyFont="1" applyFill="1" applyBorder="1" applyAlignment="1">
      <alignment horizontal="left"/>
    </xf>
    <xf numFmtId="3" fontId="3" fillId="0" borderId="21" xfId="0" applyNumberFormat="1" applyFont="1" applyFill="1" applyBorder="1" applyAlignment="1">
      <alignment horizontal="left"/>
    </xf>
    <xf numFmtId="194" fontId="3" fillId="0" borderId="22" xfId="0" applyNumberFormat="1" applyFont="1" applyFill="1" applyBorder="1" applyAlignment="1">
      <alignment/>
    </xf>
    <xf numFmtId="194" fontId="3" fillId="0" borderId="22" xfId="0" applyNumberFormat="1" applyFont="1" applyFill="1" applyBorder="1" applyAlignment="1">
      <alignment horizontal="left"/>
    </xf>
    <xf numFmtId="3" fontId="3" fillId="0" borderId="23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 horizontal="left"/>
    </xf>
    <xf numFmtId="3" fontId="3" fillId="0" borderId="23" xfId="0" applyNumberFormat="1" applyFont="1" applyFill="1" applyBorder="1" applyAlignment="1">
      <alignment horizontal="left"/>
    </xf>
    <xf numFmtId="3" fontId="3" fillId="0" borderId="25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194" fontId="3" fillId="0" borderId="0" xfId="0" applyNumberFormat="1" applyFont="1" applyFill="1" applyBorder="1" applyAlignment="1">
      <alignment/>
    </xf>
    <xf numFmtId="194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 horizontal="left"/>
    </xf>
    <xf numFmtId="3" fontId="3" fillId="0" borderId="23" xfId="0" applyNumberFormat="1" applyFont="1" applyFill="1" applyBorder="1" applyAlignment="1">
      <alignment horizontal="center"/>
    </xf>
    <xf numFmtId="3" fontId="3" fillId="0" borderId="24" xfId="0" applyNumberFormat="1" applyFont="1" applyFill="1" applyBorder="1" applyAlignment="1">
      <alignment horizontal="center"/>
    </xf>
    <xf numFmtId="3" fontId="3" fillId="0" borderId="18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25" xfId="0" applyNumberFormat="1" applyFont="1" applyFill="1" applyBorder="1" applyAlignment="1">
      <alignment horizontal="center"/>
    </xf>
    <xf numFmtId="194" fontId="3" fillId="0" borderId="22" xfId="0" applyNumberFormat="1" applyFont="1" applyFill="1" applyBorder="1" applyAlignment="1">
      <alignment/>
    </xf>
    <xf numFmtId="194" fontId="3" fillId="0" borderId="0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 horizontal="center"/>
    </xf>
    <xf numFmtId="1" fontId="1" fillId="0" borderId="18" xfId="0" applyNumberFormat="1" applyFont="1" applyFill="1" applyBorder="1" applyAlignment="1">
      <alignment horizontal="center"/>
    </xf>
    <xf numFmtId="194" fontId="0" fillId="0" borderId="0" xfId="0" applyNumberFormat="1" applyFont="1" applyFill="1" applyAlignment="1">
      <alignment horizontal="center"/>
    </xf>
    <xf numFmtId="194" fontId="0" fillId="0" borderId="0" xfId="0" applyNumberFormat="1" applyFont="1" applyFill="1" applyAlignment="1">
      <alignment horizontal="center" vertical="center" textRotation="90"/>
    </xf>
    <xf numFmtId="194" fontId="0" fillId="0" borderId="18" xfId="0" applyNumberFormat="1" applyFont="1" applyFill="1" applyBorder="1" applyAlignment="1">
      <alignment horizontal="center" vertical="center" textRotation="90"/>
    </xf>
    <xf numFmtId="194" fontId="1" fillId="0" borderId="0" xfId="0" applyNumberFormat="1" applyFont="1" applyFill="1" applyBorder="1" applyAlignment="1">
      <alignment horizontal="center"/>
    </xf>
    <xf numFmtId="194" fontId="0" fillId="0" borderId="0" xfId="0" applyNumberFormat="1" applyFont="1" applyFill="1" applyBorder="1" applyAlignment="1">
      <alignment horizontal="center"/>
    </xf>
    <xf numFmtId="3" fontId="4" fillId="0" borderId="23" xfId="0" applyNumberFormat="1" applyFont="1" applyFill="1" applyBorder="1" applyAlignment="1">
      <alignment horizontal="center"/>
    </xf>
    <xf numFmtId="3" fontId="4" fillId="0" borderId="23" xfId="0" applyNumberFormat="1" applyFont="1" applyFill="1" applyBorder="1" applyAlignment="1">
      <alignment/>
    </xf>
    <xf numFmtId="0" fontId="0" fillId="0" borderId="21" xfId="0" applyFont="1" applyBorder="1" applyAlignment="1">
      <alignment horizontal="center"/>
    </xf>
    <xf numFmtId="194" fontId="1" fillId="0" borderId="24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194" fontId="1" fillId="0" borderId="18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194" fontId="4" fillId="0" borderId="20" xfId="0" applyNumberFormat="1" applyFont="1" applyFill="1" applyBorder="1" applyAlignment="1">
      <alignment horizontal="center" vertical="top"/>
    </xf>
    <xf numFmtId="194" fontId="4" fillId="0" borderId="27" xfId="0" applyNumberFormat="1" applyFont="1" applyFill="1" applyBorder="1" applyAlignment="1">
      <alignment horizontal="center"/>
    </xf>
    <xf numFmtId="194" fontId="4" fillId="0" borderId="19" xfId="0" applyNumberFormat="1" applyFont="1" applyFill="1" applyBorder="1" applyAlignment="1">
      <alignment horizontal="center" vertical="top"/>
    </xf>
    <xf numFmtId="194" fontId="4" fillId="0" borderId="0" xfId="0" applyNumberFormat="1" applyFont="1" applyFill="1" applyBorder="1" applyAlignment="1">
      <alignment horizontal="center" vertical="top"/>
    </xf>
    <xf numFmtId="194" fontId="0" fillId="0" borderId="28" xfId="0" applyNumberFormat="1" applyFont="1" applyFill="1" applyBorder="1" applyAlignment="1">
      <alignment horizontal="center" vertical="top"/>
    </xf>
    <xf numFmtId="194" fontId="0" fillId="0" borderId="26" xfId="0" applyNumberFormat="1" applyFont="1" applyFill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center" vertical="top"/>
    </xf>
    <xf numFmtId="194" fontId="0" fillId="0" borderId="18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194" fontId="1" fillId="0" borderId="18" xfId="0" applyNumberFormat="1" applyFont="1" applyFill="1" applyBorder="1" applyAlignment="1">
      <alignment horizontal="center"/>
    </xf>
    <xf numFmtId="3" fontId="3" fillId="0" borderId="21" xfId="0" applyNumberFormat="1" applyFont="1" applyFill="1" applyBorder="1" applyAlignment="1">
      <alignment horizontal="left"/>
    </xf>
    <xf numFmtId="3" fontId="3" fillId="0" borderId="22" xfId="0" applyNumberFormat="1" applyFont="1" applyFill="1" applyBorder="1" applyAlignment="1">
      <alignment horizontal="left"/>
    </xf>
    <xf numFmtId="3" fontId="3" fillId="0" borderId="23" xfId="0" applyNumberFormat="1" applyFont="1" applyFill="1" applyBorder="1" applyAlignment="1">
      <alignment horizontal="left"/>
    </xf>
    <xf numFmtId="3" fontId="3" fillId="0" borderId="21" xfId="0" applyNumberFormat="1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 horizontal="center"/>
    </xf>
    <xf numFmtId="3" fontId="3" fillId="0" borderId="18" xfId="0" applyNumberFormat="1" applyFont="1" applyFill="1" applyBorder="1" applyAlignment="1">
      <alignment horizontal="left"/>
    </xf>
    <xf numFmtId="0" fontId="0" fillId="0" borderId="18" xfId="0" applyFont="1" applyBorder="1" applyAlignment="1">
      <alignment/>
    </xf>
    <xf numFmtId="194" fontId="0" fillId="0" borderId="18" xfId="0" applyNumberFormat="1" applyFont="1" applyFill="1" applyBorder="1" applyAlignment="1">
      <alignment horizontal="center" vertical="center" textRotation="90"/>
    </xf>
    <xf numFmtId="194" fontId="0" fillId="0" borderId="25" xfId="0" applyNumberFormat="1" applyFont="1" applyFill="1" applyBorder="1" applyAlignment="1">
      <alignment horizontal="center" vertical="center" textRotation="90"/>
    </xf>
    <xf numFmtId="194" fontId="1" fillId="0" borderId="29" xfId="0" applyNumberFormat="1" applyFont="1" applyFill="1" applyBorder="1" applyAlignment="1">
      <alignment horizontal="center" vertical="center"/>
    </xf>
    <xf numFmtId="194" fontId="1" fillId="0" borderId="30" xfId="0" applyNumberFormat="1" applyFont="1" applyFill="1" applyBorder="1" applyAlignment="1">
      <alignment horizontal="center" vertical="center"/>
    </xf>
    <xf numFmtId="194" fontId="0" fillId="0" borderId="25" xfId="0" applyNumberFormat="1" applyFont="1" applyFill="1" applyBorder="1" applyAlignment="1">
      <alignment horizontal="center" textRotation="90"/>
    </xf>
    <xf numFmtId="194" fontId="0" fillId="0" borderId="19" xfId="0" applyNumberFormat="1" applyFont="1" applyFill="1" applyBorder="1" applyAlignment="1">
      <alignment horizontal="center" textRotation="90"/>
    </xf>
    <xf numFmtId="0" fontId="0" fillId="0" borderId="25" xfId="0" applyFont="1" applyFill="1" applyBorder="1" applyAlignment="1">
      <alignment horizontal="center" textRotation="90"/>
    </xf>
    <xf numFmtId="0" fontId="0" fillId="0" borderId="19" xfId="0" applyFont="1" applyFill="1" applyBorder="1" applyAlignment="1">
      <alignment horizontal="center" textRotation="90"/>
    </xf>
    <xf numFmtId="0" fontId="0" fillId="0" borderId="18" xfId="0" applyFont="1" applyFill="1" applyBorder="1" applyAlignment="1">
      <alignment horizontal="center" textRotation="90"/>
    </xf>
    <xf numFmtId="194" fontId="0" fillId="0" borderId="24" xfId="0" applyNumberFormat="1" applyFont="1" applyFill="1" applyBorder="1" applyAlignment="1">
      <alignment horizontal="center" textRotation="90"/>
    </xf>
    <xf numFmtId="3" fontId="12" fillId="0" borderId="31" xfId="0" applyNumberFormat="1" applyFont="1" applyFill="1" applyBorder="1" applyAlignment="1">
      <alignment horizontal="center" vertical="center"/>
    </xf>
    <xf numFmtId="3" fontId="12" fillId="0" borderId="32" xfId="0" applyNumberFormat="1" applyFont="1" applyFill="1" applyBorder="1" applyAlignment="1">
      <alignment horizontal="center" vertical="center"/>
    </xf>
    <xf numFmtId="3" fontId="12" fillId="0" borderId="33" xfId="0" applyNumberFormat="1" applyFont="1" applyFill="1" applyBorder="1" applyAlignment="1">
      <alignment horizontal="center" vertical="center"/>
    </xf>
    <xf numFmtId="3" fontId="12" fillId="0" borderId="34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center"/>
    </xf>
    <xf numFmtId="3" fontId="4" fillId="0" borderId="22" xfId="0" applyNumberFormat="1" applyFont="1" applyFill="1" applyBorder="1" applyAlignment="1">
      <alignment horizontal="left"/>
    </xf>
    <xf numFmtId="3" fontId="4" fillId="0" borderId="23" xfId="0" applyNumberFormat="1" applyFont="1" applyFill="1" applyBorder="1" applyAlignment="1">
      <alignment horizontal="left"/>
    </xf>
    <xf numFmtId="3" fontId="1" fillId="0" borderId="35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36" xfId="0" applyNumberFormat="1" applyFont="1" applyFill="1" applyBorder="1" applyAlignment="1">
      <alignment horizontal="center" vertical="center"/>
    </xf>
    <xf numFmtId="3" fontId="1" fillId="0" borderId="37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left"/>
    </xf>
    <xf numFmtId="3" fontId="3" fillId="0" borderId="26" xfId="0" applyNumberFormat="1" applyFont="1" applyFill="1" applyBorder="1" applyAlignment="1">
      <alignment horizontal="left"/>
    </xf>
    <xf numFmtId="3" fontId="3" fillId="0" borderId="18" xfId="0" applyNumberFormat="1" applyFont="1" applyFill="1" applyBorder="1" applyAlignment="1">
      <alignment/>
    </xf>
    <xf numFmtId="3" fontId="4" fillId="0" borderId="38" xfId="0" applyNumberFormat="1" applyFont="1" applyFill="1" applyBorder="1" applyAlignment="1">
      <alignment horizontal="left"/>
    </xf>
    <xf numFmtId="3" fontId="4" fillId="0" borderId="39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left"/>
    </xf>
    <xf numFmtId="3" fontId="4" fillId="0" borderId="18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3" fontId="11" fillId="0" borderId="18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3" fontId="7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3" fontId="9" fillId="0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9"/>
  <sheetViews>
    <sheetView tabSelected="1" zoomScalePageLayoutView="0" workbookViewId="0" topLeftCell="A56">
      <selection activeCell="B2" sqref="B2:R2"/>
    </sheetView>
  </sheetViews>
  <sheetFormatPr defaultColWidth="9.140625" defaultRowHeight="12.75"/>
  <cols>
    <col min="1" max="1" width="3.140625" style="22" customWidth="1"/>
    <col min="2" max="2" width="9.140625" style="22" customWidth="1"/>
    <col min="3" max="3" width="32.00390625" style="22" customWidth="1"/>
    <col min="4" max="4" width="9.140625" style="22" customWidth="1"/>
    <col min="5" max="5" width="6.00390625" style="28" customWidth="1"/>
    <col min="6" max="6" width="8.140625" style="26" bestFit="1" customWidth="1"/>
    <col min="7" max="7" width="15.140625" style="26" customWidth="1"/>
    <col min="8" max="8" width="10.28125" style="26" customWidth="1"/>
    <col min="9" max="9" width="9.140625" style="26" bestFit="1" customWidth="1"/>
    <col min="10" max="10" width="7.421875" style="26" customWidth="1"/>
    <col min="11" max="11" width="8.7109375" style="61" customWidth="1"/>
    <col min="12" max="12" width="9.28125" style="26" customWidth="1"/>
    <col min="13" max="13" width="8.8515625" style="32" customWidth="1"/>
    <col min="14" max="14" width="10.140625" style="32" bestFit="1" customWidth="1"/>
    <col min="15" max="15" width="7.8515625" style="61" customWidth="1"/>
    <col min="16" max="16" width="11.7109375" style="61" bestFit="1" customWidth="1"/>
    <col min="17" max="17" width="9.140625" style="35" bestFit="1" customWidth="1"/>
    <col min="18" max="18" width="4.421875" style="26" customWidth="1"/>
    <col min="19" max="16384" width="9.140625" style="22" customWidth="1"/>
  </cols>
  <sheetData>
    <row r="1" spans="1:18" ht="18.75" customHeight="1">
      <c r="A1" s="25"/>
      <c r="B1" s="127" t="s">
        <v>78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1:18" ht="18.75" customHeight="1">
      <c r="A2" s="25"/>
      <c r="B2" s="127" t="s">
        <v>113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</row>
    <row r="3" spans="1:18" ht="18.75" customHeight="1">
      <c r="A3" s="25"/>
      <c r="B3" s="127" t="s">
        <v>75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</row>
    <row r="4" spans="2:18" ht="18" customHeight="1"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</row>
    <row r="5" spans="1:18" ht="18" customHeight="1">
      <c r="A5" s="129" t="s">
        <v>83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</row>
    <row r="6" spans="1:18" ht="18" customHeight="1">
      <c r="A6" s="81" t="s">
        <v>12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</row>
    <row r="7" spans="1:18" ht="18" customHeight="1">
      <c r="A7" s="124" t="s">
        <v>61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</row>
    <row r="8" spans="1:18" ht="18" customHeight="1">
      <c r="A8" s="124" t="s">
        <v>112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</row>
    <row r="9" spans="1:18" ht="18" customHeight="1">
      <c r="A9" s="125" t="s">
        <v>68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</row>
    <row r="10" spans="1:12" ht="9.75" customHeight="1">
      <c r="A10" s="23"/>
      <c r="B10" s="1"/>
      <c r="C10" s="1"/>
      <c r="D10" s="1"/>
      <c r="E10" s="4"/>
      <c r="F10" s="2"/>
      <c r="G10" s="2"/>
      <c r="H10" s="2"/>
      <c r="I10" s="2"/>
      <c r="J10" s="3"/>
      <c r="K10" s="3"/>
      <c r="L10" s="29"/>
    </row>
    <row r="11" spans="1:17" ht="16.5" customHeight="1">
      <c r="A11" s="19"/>
      <c r="B11" s="103" t="s">
        <v>79</v>
      </c>
      <c r="C11" s="104"/>
      <c r="D11" s="104"/>
      <c r="E11" s="104"/>
      <c r="F11" s="104"/>
      <c r="G11" s="104"/>
      <c r="H11" s="31"/>
      <c r="I11" s="107" t="s">
        <v>85</v>
      </c>
      <c r="J11" s="83"/>
      <c r="K11" s="68" t="s">
        <v>95</v>
      </c>
      <c r="L11" s="72" t="s">
        <v>89</v>
      </c>
      <c r="M11" s="73" t="s">
        <v>96</v>
      </c>
      <c r="N11" s="33" t="s">
        <v>28</v>
      </c>
      <c r="O11" s="27" t="s">
        <v>87</v>
      </c>
      <c r="P11" s="64"/>
      <c r="Q11" s="64"/>
    </row>
    <row r="12" spans="1:17" ht="16.5" customHeight="1">
      <c r="A12" s="19"/>
      <c r="B12" s="105"/>
      <c r="C12" s="106"/>
      <c r="D12" s="106"/>
      <c r="E12" s="106"/>
      <c r="F12" s="106"/>
      <c r="G12" s="106"/>
      <c r="H12" s="69">
        <f>H13+H17+H18+H20+H22+H24+H25+H32+H33+H34</f>
        <v>826126.2</v>
      </c>
      <c r="I12" s="84">
        <f>I13+I17+I18+I20+I22+I24+I25+I32+I33+I34</f>
        <v>22211.399999999998</v>
      </c>
      <c r="J12" s="92"/>
      <c r="K12" s="68">
        <f>K17+K18+K20+K22+K24+K25+K32+K33+K34</f>
        <v>52469.3</v>
      </c>
      <c r="L12" s="71">
        <f>L17+L18+L20+L22+L24+L25+L26+L32+L33+L34</f>
        <v>112704.2</v>
      </c>
      <c r="M12" s="71">
        <f>M17+M18+M20+M22+M24+M25+M26+M32+M33+M34</f>
        <v>79419.70000000001</v>
      </c>
      <c r="N12" s="16">
        <f>SUM(I12:M12)</f>
        <v>266804.6</v>
      </c>
      <c r="O12" s="27">
        <f>N12/(H12-H13)*100</f>
        <v>33.642847235357166</v>
      </c>
      <c r="P12" s="64"/>
      <c r="Q12" s="64"/>
    </row>
    <row r="13" spans="1:17" ht="16.5" customHeight="1">
      <c r="A13" s="19"/>
      <c r="B13" s="85" t="s">
        <v>55</v>
      </c>
      <c r="C13" s="86"/>
      <c r="D13" s="86"/>
      <c r="E13" s="86"/>
      <c r="F13" s="86"/>
      <c r="G13" s="87"/>
      <c r="H13" s="27">
        <f>H16+H15+H14</f>
        <v>33076.2</v>
      </c>
      <c r="I13" s="82"/>
      <c r="J13" s="92"/>
      <c r="K13" s="70"/>
      <c r="L13" s="71"/>
      <c r="M13" s="71"/>
      <c r="N13" s="16"/>
      <c r="O13" s="27"/>
      <c r="P13" s="64"/>
      <c r="Q13" s="3"/>
    </row>
    <row r="14" spans="1:17" ht="16.5" customHeight="1">
      <c r="A14" s="19"/>
      <c r="B14" s="44"/>
      <c r="C14" s="40" t="s">
        <v>57</v>
      </c>
      <c r="D14" s="41"/>
      <c r="E14" s="41"/>
      <c r="F14" s="42"/>
      <c r="G14" s="45"/>
      <c r="H14" s="27">
        <v>29426.2</v>
      </c>
      <c r="I14" s="82"/>
      <c r="J14" s="92"/>
      <c r="K14" s="70"/>
      <c r="L14" s="71"/>
      <c r="M14" s="71"/>
      <c r="N14" s="16"/>
      <c r="O14" s="27"/>
      <c r="P14" s="64"/>
      <c r="Q14" s="3"/>
    </row>
    <row r="15" spans="1:17" ht="16.5" customHeight="1">
      <c r="A15" s="19"/>
      <c r="B15" s="39"/>
      <c r="C15" s="40" t="s">
        <v>58</v>
      </c>
      <c r="D15" s="41"/>
      <c r="E15" s="41"/>
      <c r="F15" s="42"/>
      <c r="G15" s="45"/>
      <c r="H15" s="27">
        <v>3650</v>
      </c>
      <c r="I15" s="82"/>
      <c r="J15" s="83"/>
      <c r="K15" s="70"/>
      <c r="L15" s="27"/>
      <c r="M15" s="27"/>
      <c r="N15" s="16"/>
      <c r="O15" s="27"/>
      <c r="P15" s="64"/>
      <c r="Q15" s="3"/>
    </row>
    <row r="16" spans="1:17" ht="16.5" customHeight="1" hidden="1">
      <c r="A16" s="19"/>
      <c r="B16" s="46"/>
      <c r="C16" s="47" t="s">
        <v>80</v>
      </c>
      <c r="D16" s="48"/>
      <c r="E16" s="48"/>
      <c r="F16" s="49"/>
      <c r="G16" s="50"/>
      <c r="H16" s="27">
        <v>0</v>
      </c>
      <c r="I16" s="82"/>
      <c r="J16" s="83"/>
      <c r="K16" s="70"/>
      <c r="L16" s="84"/>
      <c r="M16" s="84"/>
      <c r="N16" s="16">
        <f aca="true" t="shared" si="0" ref="N16:N34">SUM(I16:M16)</f>
        <v>0</v>
      </c>
      <c r="O16" s="27"/>
      <c r="P16" s="64"/>
      <c r="Q16" s="3"/>
    </row>
    <row r="17" spans="1:17" ht="16.5" customHeight="1">
      <c r="A17" s="19">
        <v>1</v>
      </c>
      <c r="B17" s="91" t="s">
        <v>46</v>
      </c>
      <c r="C17" s="85"/>
      <c r="D17" s="41"/>
      <c r="E17" s="41"/>
      <c r="F17" s="42"/>
      <c r="G17" s="43"/>
      <c r="H17" s="27">
        <v>144014</v>
      </c>
      <c r="I17" s="82"/>
      <c r="J17" s="83"/>
      <c r="K17" s="70">
        <f>15634.8-1621.3-9647.5</f>
        <v>4366</v>
      </c>
      <c r="L17" s="27">
        <f>17483.5-9647.5-1621.3</f>
        <v>6214.7</v>
      </c>
      <c r="M17" s="27">
        <f>13916.7+2605.7-555</f>
        <v>15967.400000000001</v>
      </c>
      <c r="N17" s="16">
        <f t="shared" si="0"/>
        <v>26548.100000000002</v>
      </c>
      <c r="O17" s="27">
        <f>N17/H17*100</f>
        <v>18.434388323357453</v>
      </c>
      <c r="P17" s="64"/>
      <c r="Q17" s="3"/>
    </row>
    <row r="18" spans="1:17" ht="16.5" customHeight="1">
      <c r="A18" s="19">
        <v>2</v>
      </c>
      <c r="B18" s="85" t="s">
        <v>8</v>
      </c>
      <c r="C18" s="86"/>
      <c r="D18" s="86"/>
      <c r="E18" s="86"/>
      <c r="F18" s="86"/>
      <c r="G18" s="87"/>
      <c r="H18" s="27">
        <v>292000</v>
      </c>
      <c r="I18" s="82">
        <v>3296.9</v>
      </c>
      <c r="J18" s="83"/>
      <c r="K18" s="70">
        <f>9535.5+9647.5</f>
        <v>19183</v>
      </c>
      <c r="L18" s="27">
        <f>53580+9647.5</f>
        <v>63227.5</v>
      </c>
      <c r="M18" s="27">
        <f>14803.8+612.5</f>
        <v>15416.3</v>
      </c>
      <c r="N18" s="16">
        <f t="shared" si="0"/>
        <v>101123.7</v>
      </c>
      <c r="O18" s="27">
        <f aca="true" t="shared" si="1" ref="O18:O34">N18/H18*100</f>
        <v>34.63140410958904</v>
      </c>
      <c r="P18" s="64"/>
      <c r="Q18" s="3"/>
    </row>
    <row r="19" spans="1:17" ht="16.5" customHeight="1">
      <c r="A19" s="19"/>
      <c r="B19" s="88" t="s">
        <v>111</v>
      </c>
      <c r="C19" s="89"/>
      <c r="D19" s="89"/>
      <c r="E19" s="89"/>
      <c r="F19" s="89"/>
      <c r="G19" s="90"/>
      <c r="H19" s="27"/>
      <c r="I19" s="82"/>
      <c r="J19" s="83"/>
      <c r="K19" s="70">
        <f>9647.5</f>
        <v>9647.5</v>
      </c>
      <c r="L19" s="27">
        <v>9647.5</v>
      </c>
      <c r="M19" s="27"/>
      <c r="N19" s="16"/>
      <c r="O19" s="27"/>
      <c r="P19" s="64"/>
      <c r="Q19" s="3"/>
    </row>
    <row r="20" spans="1:17" ht="16.5" customHeight="1">
      <c r="A20" s="19">
        <v>3</v>
      </c>
      <c r="B20" s="85" t="s">
        <v>9</v>
      </c>
      <c r="C20" s="86"/>
      <c r="D20" s="86"/>
      <c r="E20" s="86"/>
      <c r="F20" s="86"/>
      <c r="G20" s="87"/>
      <c r="H20" s="27">
        <v>199500</v>
      </c>
      <c r="I20" s="82">
        <v>14403.1</v>
      </c>
      <c r="J20" s="83"/>
      <c r="K20" s="70">
        <f>12836.2+1621.3</f>
        <v>14457.5</v>
      </c>
      <c r="L20" s="27">
        <f>23308.2+1621.3</f>
        <v>24929.5</v>
      </c>
      <c r="M20" s="27">
        <v>32485.8</v>
      </c>
      <c r="N20" s="16">
        <f t="shared" si="0"/>
        <v>86275.9</v>
      </c>
      <c r="O20" s="27">
        <f t="shared" si="1"/>
        <v>43.246065162907264</v>
      </c>
      <c r="P20" s="64"/>
      <c r="Q20" s="3"/>
    </row>
    <row r="21" spans="1:17" ht="16.5" customHeight="1">
      <c r="A21" s="19"/>
      <c r="B21" s="88" t="s">
        <v>111</v>
      </c>
      <c r="C21" s="89"/>
      <c r="D21" s="89"/>
      <c r="E21" s="89"/>
      <c r="F21" s="89"/>
      <c r="G21" s="90"/>
      <c r="H21" s="27"/>
      <c r="I21" s="82"/>
      <c r="J21" s="83"/>
      <c r="K21" s="70">
        <v>1621.3</v>
      </c>
      <c r="L21" s="27">
        <v>1621.3</v>
      </c>
      <c r="M21" s="27"/>
      <c r="N21" s="16"/>
      <c r="O21" s="27"/>
      <c r="P21" s="64"/>
      <c r="Q21" s="3"/>
    </row>
    <row r="22" spans="1:17" ht="16.5" customHeight="1">
      <c r="A22" s="19">
        <v>4</v>
      </c>
      <c r="B22" s="85" t="s">
        <v>10</v>
      </c>
      <c r="C22" s="86"/>
      <c r="D22" s="86"/>
      <c r="E22" s="86"/>
      <c r="F22" s="86"/>
      <c r="G22" s="87"/>
      <c r="H22" s="27">
        <v>27000</v>
      </c>
      <c r="I22" s="82">
        <v>1226.8</v>
      </c>
      <c r="J22" s="83"/>
      <c r="K22" s="70">
        <v>652.5</v>
      </c>
      <c r="L22" s="27">
        <v>3430</v>
      </c>
      <c r="M22" s="27">
        <f>3269+555</f>
        <v>3824</v>
      </c>
      <c r="N22" s="16">
        <f t="shared" si="0"/>
        <v>9133.3</v>
      </c>
      <c r="O22" s="27">
        <f t="shared" si="1"/>
        <v>33.82703703703703</v>
      </c>
      <c r="P22" s="64"/>
      <c r="Q22" s="3"/>
    </row>
    <row r="23" spans="1:17" ht="16.5" customHeight="1">
      <c r="A23" s="19"/>
      <c r="B23" s="88" t="s">
        <v>111</v>
      </c>
      <c r="C23" s="89"/>
      <c r="D23" s="89"/>
      <c r="E23" s="89"/>
      <c r="F23" s="89"/>
      <c r="G23" s="90"/>
      <c r="H23" s="27"/>
      <c r="I23" s="82"/>
      <c r="J23" s="83"/>
      <c r="K23" s="70"/>
      <c r="L23" s="27"/>
      <c r="M23" s="27">
        <v>555</v>
      </c>
      <c r="N23" s="16"/>
      <c r="O23" s="27"/>
      <c r="P23" s="64"/>
      <c r="Q23" s="3"/>
    </row>
    <row r="24" spans="1:17" ht="16.5" customHeight="1">
      <c r="A24" s="19">
        <v>5</v>
      </c>
      <c r="B24" s="91" t="s">
        <v>54</v>
      </c>
      <c r="C24" s="85"/>
      <c r="D24" s="41"/>
      <c r="E24" s="41"/>
      <c r="F24" s="42"/>
      <c r="G24" s="43"/>
      <c r="H24" s="27">
        <v>1950</v>
      </c>
      <c r="I24" s="82">
        <v>15</v>
      </c>
      <c r="J24" s="83"/>
      <c r="K24" s="70">
        <v>150</v>
      </c>
      <c r="L24" s="27">
        <v>75</v>
      </c>
      <c r="M24" s="27">
        <v>75</v>
      </c>
      <c r="N24" s="16">
        <f t="shared" si="0"/>
        <v>315</v>
      </c>
      <c r="O24" s="27">
        <f t="shared" si="1"/>
        <v>16.153846153846153</v>
      </c>
      <c r="P24" s="64"/>
      <c r="Q24" s="3"/>
    </row>
    <row r="25" spans="1:17" ht="16.5" customHeight="1">
      <c r="A25" s="19">
        <v>6</v>
      </c>
      <c r="B25" s="91" t="s">
        <v>7</v>
      </c>
      <c r="C25" s="85"/>
      <c r="D25" s="41"/>
      <c r="E25" s="41"/>
      <c r="F25" s="42"/>
      <c r="G25" s="43"/>
      <c r="H25" s="27">
        <f>H26+H27+H28+H29+H30+H31</f>
        <v>17220</v>
      </c>
      <c r="I25" s="84">
        <f>I26+I27+I28+I29+I30+I31</f>
        <v>3269.6</v>
      </c>
      <c r="J25" s="83"/>
      <c r="K25" s="68">
        <v>5336</v>
      </c>
      <c r="L25" s="27">
        <f>L26+L27+L28+L29+L30+L31</f>
        <v>341.4</v>
      </c>
      <c r="M25" s="27">
        <f>M26+M27+M28+M29+M30+M31</f>
        <v>1354.3</v>
      </c>
      <c r="N25" s="16">
        <f t="shared" si="0"/>
        <v>10301.3</v>
      </c>
      <c r="O25" s="27">
        <f t="shared" si="1"/>
        <v>59.82171893147502</v>
      </c>
      <c r="P25" s="64"/>
      <c r="Q25" s="3"/>
    </row>
    <row r="26" spans="1:17" ht="16.5" customHeight="1">
      <c r="A26" s="19"/>
      <c r="B26" s="53">
        <v>1</v>
      </c>
      <c r="C26" s="40" t="s">
        <v>2</v>
      </c>
      <c r="D26" s="41"/>
      <c r="E26" s="41"/>
      <c r="F26" s="42"/>
      <c r="G26" s="52"/>
      <c r="H26" s="27">
        <v>700</v>
      </c>
      <c r="I26" s="82"/>
      <c r="J26" s="83"/>
      <c r="K26" s="70"/>
      <c r="L26" s="27"/>
      <c r="M26" s="27"/>
      <c r="N26" s="16"/>
      <c r="O26" s="27">
        <f t="shared" si="1"/>
        <v>0</v>
      </c>
      <c r="P26" s="64"/>
      <c r="Q26" s="3"/>
    </row>
    <row r="27" spans="1:17" ht="16.5" customHeight="1">
      <c r="A27" s="19"/>
      <c r="B27" s="54">
        <v>2</v>
      </c>
      <c r="C27" s="51" t="s">
        <v>81</v>
      </c>
      <c r="D27" s="48"/>
      <c r="E27" s="48"/>
      <c r="F27" s="49"/>
      <c r="G27" s="55"/>
      <c r="H27" s="27">
        <v>1500</v>
      </c>
      <c r="I27" s="82"/>
      <c r="J27" s="83"/>
      <c r="K27" s="70"/>
      <c r="L27" s="27"/>
      <c r="M27" s="27">
        <f>499.2</f>
        <v>499.2</v>
      </c>
      <c r="N27" s="16">
        <f t="shared" si="0"/>
        <v>499.2</v>
      </c>
      <c r="O27" s="27">
        <f t="shared" si="1"/>
        <v>33.28</v>
      </c>
      <c r="P27" s="64"/>
      <c r="Q27" s="3"/>
    </row>
    <row r="28" spans="1:17" ht="16.5" customHeight="1">
      <c r="A28" s="19"/>
      <c r="B28" s="54">
        <v>3</v>
      </c>
      <c r="C28" s="40" t="s">
        <v>74</v>
      </c>
      <c r="D28" s="41"/>
      <c r="E28" s="41"/>
      <c r="F28" s="42"/>
      <c r="G28" s="52"/>
      <c r="H28" s="27">
        <v>7920</v>
      </c>
      <c r="I28" s="82">
        <v>3058</v>
      </c>
      <c r="J28" s="83"/>
      <c r="K28" s="70">
        <v>1811</v>
      </c>
      <c r="L28" s="27"/>
      <c r="M28" s="27"/>
      <c r="N28" s="16">
        <f t="shared" si="0"/>
        <v>4869</v>
      </c>
      <c r="O28" s="27">
        <f t="shared" si="1"/>
        <v>61.47727272727273</v>
      </c>
      <c r="P28" s="64"/>
      <c r="Q28" s="3"/>
    </row>
    <row r="29" spans="1:17" ht="16.5" customHeight="1">
      <c r="A29" s="19"/>
      <c r="B29" s="54">
        <v>4</v>
      </c>
      <c r="C29" s="51" t="s">
        <v>60</v>
      </c>
      <c r="D29" s="48"/>
      <c r="E29" s="48"/>
      <c r="F29" s="49"/>
      <c r="G29" s="55"/>
      <c r="H29" s="27">
        <v>500</v>
      </c>
      <c r="I29" s="82">
        <v>27.7</v>
      </c>
      <c r="J29" s="83"/>
      <c r="K29" s="70">
        <v>45.3</v>
      </c>
      <c r="L29" s="27">
        <v>45.9</v>
      </c>
      <c r="M29" s="27">
        <f>48.2</f>
        <v>48.2</v>
      </c>
      <c r="N29" s="16">
        <f t="shared" si="0"/>
        <v>167.10000000000002</v>
      </c>
      <c r="O29" s="27">
        <f t="shared" si="1"/>
        <v>33.42</v>
      </c>
      <c r="P29" s="64"/>
      <c r="Q29" s="3"/>
    </row>
    <row r="30" spans="1:17" ht="16.5" customHeight="1">
      <c r="A30" s="19"/>
      <c r="B30" s="54">
        <v>5</v>
      </c>
      <c r="C30" s="40" t="s">
        <v>3</v>
      </c>
      <c r="D30" s="41"/>
      <c r="E30" s="41"/>
      <c r="F30" s="42"/>
      <c r="G30" s="52"/>
      <c r="H30" s="27">
        <v>600</v>
      </c>
      <c r="I30" s="82"/>
      <c r="J30" s="83"/>
      <c r="K30" s="70">
        <v>50</v>
      </c>
      <c r="L30" s="27">
        <v>50</v>
      </c>
      <c r="M30" s="27">
        <v>100</v>
      </c>
      <c r="N30" s="16">
        <f t="shared" si="0"/>
        <v>200</v>
      </c>
      <c r="O30" s="27">
        <f t="shared" si="1"/>
        <v>33.33333333333333</v>
      </c>
      <c r="P30" s="64"/>
      <c r="Q30" s="3"/>
    </row>
    <row r="31" spans="1:17" ht="16.5" customHeight="1">
      <c r="A31" s="19"/>
      <c r="B31" s="56">
        <v>6</v>
      </c>
      <c r="C31" s="51" t="s">
        <v>59</v>
      </c>
      <c r="D31" s="48"/>
      <c r="E31" s="48"/>
      <c r="F31" s="49"/>
      <c r="G31" s="55"/>
      <c r="H31" s="27">
        <v>6000</v>
      </c>
      <c r="I31" s="82">
        <v>183.9</v>
      </c>
      <c r="J31" s="83"/>
      <c r="K31" s="70">
        <v>371.7</v>
      </c>
      <c r="L31" s="27">
        <v>245.5</v>
      </c>
      <c r="M31" s="27">
        <f>5.4+68.8+70.6+543.2+18.9</f>
        <v>706.9</v>
      </c>
      <c r="N31" s="16">
        <f t="shared" si="0"/>
        <v>1508</v>
      </c>
      <c r="O31" s="27">
        <f t="shared" si="1"/>
        <v>25.133333333333336</v>
      </c>
      <c r="P31" s="64"/>
      <c r="Q31" s="3"/>
    </row>
    <row r="32" spans="1:17" ht="16.5" customHeight="1">
      <c r="A32" s="19">
        <v>7</v>
      </c>
      <c r="B32" s="91" t="s">
        <v>6</v>
      </c>
      <c r="C32" s="85"/>
      <c r="D32" s="41"/>
      <c r="E32" s="41"/>
      <c r="F32" s="57"/>
      <c r="G32" s="43"/>
      <c r="H32" s="27">
        <v>80500</v>
      </c>
      <c r="I32" s="82"/>
      <c r="J32" s="83"/>
      <c r="K32" s="70">
        <v>8234.3</v>
      </c>
      <c r="L32" s="27">
        <v>8102.1</v>
      </c>
      <c r="M32" s="27">
        <v>6987.1</v>
      </c>
      <c r="N32" s="16">
        <f t="shared" si="0"/>
        <v>23323.5</v>
      </c>
      <c r="O32" s="27">
        <f t="shared" si="1"/>
        <v>28.973291925465837</v>
      </c>
      <c r="P32" s="64"/>
      <c r="Q32" s="3"/>
    </row>
    <row r="33" spans="1:17" ht="16.5" customHeight="1">
      <c r="A33" s="19">
        <v>8</v>
      </c>
      <c r="B33" s="114" t="s">
        <v>110</v>
      </c>
      <c r="C33" s="115"/>
      <c r="D33" s="48"/>
      <c r="E33" s="48"/>
      <c r="F33" s="58"/>
      <c r="G33" s="50"/>
      <c r="H33" s="27">
        <v>30566</v>
      </c>
      <c r="I33" s="82"/>
      <c r="J33" s="83"/>
      <c r="K33" s="70"/>
      <c r="L33" s="27">
        <f>5065.8+194.4+1074.8</f>
        <v>6335</v>
      </c>
      <c r="M33" s="27">
        <f>2704.4+537.4</f>
        <v>3241.8</v>
      </c>
      <c r="N33" s="16">
        <f t="shared" si="0"/>
        <v>9576.8</v>
      </c>
      <c r="O33" s="27">
        <f t="shared" si="1"/>
        <v>31.331544853759073</v>
      </c>
      <c r="P33" s="64"/>
      <c r="Q33" s="3"/>
    </row>
    <row r="34" spans="1:17" ht="16.5" customHeight="1">
      <c r="A34" s="19">
        <v>9</v>
      </c>
      <c r="B34" s="39" t="s">
        <v>11</v>
      </c>
      <c r="C34" s="40"/>
      <c r="D34" s="41"/>
      <c r="E34" s="41"/>
      <c r="F34" s="57"/>
      <c r="G34" s="45"/>
      <c r="H34" s="27">
        <v>300</v>
      </c>
      <c r="I34" s="82"/>
      <c r="J34" s="83"/>
      <c r="K34" s="70">
        <v>90</v>
      </c>
      <c r="L34" s="27">
        <v>49</v>
      </c>
      <c r="M34" s="27">
        <f>68</f>
        <v>68</v>
      </c>
      <c r="N34" s="16">
        <f t="shared" si="0"/>
        <v>207</v>
      </c>
      <c r="O34" s="27">
        <f t="shared" si="1"/>
        <v>69</v>
      </c>
      <c r="P34" s="64"/>
      <c r="Q34" s="3"/>
    </row>
    <row r="35" spans="1:18" ht="21.75" customHeight="1" thickBot="1">
      <c r="A35" s="119" t="s">
        <v>84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</row>
    <row r="36" spans="1:18" ht="19.5" customHeight="1">
      <c r="A36" s="6" t="s">
        <v>0</v>
      </c>
      <c r="B36" s="110" t="s">
        <v>13</v>
      </c>
      <c r="C36" s="111"/>
      <c r="D36" s="7" t="s">
        <v>29</v>
      </c>
      <c r="E36" s="8" t="s">
        <v>31</v>
      </c>
      <c r="F36" s="8" t="s">
        <v>31</v>
      </c>
      <c r="G36" s="8" t="s">
        <v>98</v>
      </c>
      <c r="H36" s="9" t="s">
        <v>35</v>
      </c>
      <c r="I36" s="10" t="s">
        <v>35</v>
      </c>
      <c r="J36" s="11" t="s">
        <v>91</v>
      </c>
      <c r="K36" s="76" t="s">
        <v>93</v>
      </c>
      <c r="L36" s="95" t="s">
        <v>28</v>
      </c>
      <c r="M36" s="101" t="s">
        <v>85</v>
      </c>
      <c r="N36" s="99" t="s">
        <v>88</v>
      </c>
      <c r="O36" s="97" t="s">
        <v>89</v>
      </c>
      <c r="P36" s="97" t="s">
        <v>96</v>
      </c>
      <c r="Q36" s="93" t="s">
        <v>28</v>
      </c>
      <c r="R36" s="93" t="s">
        <v>86</v>
      </c>
    </row>
    <row r="37" spans="1:18" ht="43.5" customHeight="1" thickBot="1">
      <c r="A37" s="12"/>
      <c r="B37" s="112"/>
      <c r="C37" s="113"/>
      <c r="D37" s="36" t="s">
        <v>30</v>
      </c>
      <c r="E37" s="37" t="s">
        <v>32</v>
      </c>
      <c r="F37" s="37" t="s">
        <v>33</v>
      </c>
      <c r="G37" s="75" t="s">
        <v>34</v>
      </c>
      <c r="H37" s="77" t="s">
        <v>32</v>
      </c>
      <c r="I37" s="78" t="s">
        <v>33</v>
      </c>
      <c r="J37" s="80" t="s">
        <v>92</v>
      </c>
      <c r="K37" s="79" t="s">
        <v>94</v>
      </c>
      <c r="L37" s="96"/>
      <c r="M37" s="99"/>
      <c r="N37" s="100"/>
      <c r="O37" s="98"/>
      <c r="P37" s="102"/>
      <c r="Q37" s="94"/>
      <c r="R37" s="93"/>
    </row>
    <row r="38" spans="1:18" ht="19.5" customHeight="1">
      <c r="A38" s="13">
        <v>1</v>
      </c>
      <c r="B38" s="117" t="s">
        <v>73</v>
      </c>
      <c r="C38" s="118"/>
      <c r="D38" s="59">
        <v>10</v>
      </c>
      <c r="E38" s="27">
        <v>300</v>
      </c>
      <c r="F38" s="27">
        <v>21900</v>
      </c>
      <c r="G38" s="27">
        <v>67000</v>
      </c>
      <c r="H38" s="27">
        <f>446350</f>
        <v>446350</v>
      </c>
      <c r="I38" s="27">
        <f>101940-7885-455+11464+5550</f>
        <v>110614</v>
      </c>
      <c r="J38" s="27">
        <v>3960</v>
      </c>
      <c r="K38" s="27">
        <v>3050</v>
      </c>
      <c r="L38" s="27">
        <f>SUM(E38:K38)</f>
        <v>653174</v>
      </c>
      <c r="M38" s="33">
        <v>49191.4</v>
      </c>
      <c r="N38" s="33">
        <v>50845.8</v>
      </c>
      <c r="O38" s="16">
        <v>48802.4</v>
      </c>
      <c r="P38" s="16">
        <v>48851.8</v>
      </c>
      <c r="Q38" s="16">
        <f>SUM(M38:P38)</f>
        <v>197691.40000000002</v>
      </c>
      <c r="R38" s="16">
        <f>Q38/L38*100</f>
        <v>30.26626901866884</v>
      </c>
    </row>
    <row r="39" spans="1:18" ht="19.5" customHeight="1">
      <c r="A39" s="14">
        <v>2</v>
      </c>
      <c r="B39" s="108" t="s">
        <v>72</v>
      </c>
      <c r="C39" s="109"/>
      <c r="D39" s="60">
        <v>1600</v>
      </c>
      <c r="E39" s="27"/>
      <c r="F39" s="27">
        <v>119</v>
      </c>
      <c r="G39" s="27">
        <v>375</v>
      </c>
      <c r="H39" s="27">
        <v>1020</v>
      </c>
      <c r="I39" s="27">
        <v>455</v>
      </c>
      <c r="J39" s="27"/>
      <c r="K39" s="27"/>
      <c r="L39" s="27">
        <f>SUM(E39:J39)</f>
        <v>1969</v>
      </c>
      <c r="M39" s="33">
        <v>17.2</v>
      </c>
      <c r="N39" s="33">
        <v>455.4</v>
      </c>
      <c r="O39" s="16">
        <v>274.2</v>
      </c>
      <c r="P39" s="16">
        <f>17.5+708.9</f>
        <v>726.4</v>
      </c>
      <c r="Q39" s="16">
        <f>O39+N39+M39</f>
        <v>746.8</v>
      </c>
      <c r="R39" s="16">
        <f aca="true" t="shared" si="2" ref="R39:R57">Q39/L39*100</f>
        <v>37.927882173692225</v>
      </c>
    </row>
    <row r="40" spans="1:18" ht="19.5" customHeight="1">
      <c r="A40" s="14">
        <v>3</v>
      </c>
      <c r="B40" s="108" t="s">
        <v>47</v>
      </c>
      <c r="C40" s="109"/>
      <c r="D40" s="60">
        <v>2200</v>
      </c>
      <c r="E40" s="27"/>
      <c r="F40" s="27"/>
      <c r="G40" s="27"/>
      <c r="H40" s="27">
        <v>500</v>
      </c>
      <c r="I40" s="27"/>
      <c r="J40" s="27"/>
      <c r="K40" s="27"/>
      <c r="L40" s="27">
        <f>SUM(E40:J40)</f>
        <v>500</v>
      </c>
      <c r="M40" s="33">
        <v>264.6</v>
      </c>
      <c r="N40" s="33">
        <v>0</v>
      </c>
      <c r="O40" s="16">
        <v>0</v>
      </c>
      <c r="P40" s="16">
        <v>0</v>
      </c>
      <c r="Q40" s="16">
        <f>O40+N40+M40</f>
        <v>264.6</v>
      </c>
      <c r="R40" s="16">
        <f t="shared" si="2"/>
        <v>52.92</v>
      </c>
    </row>
    <row r="41" spans="1:18" ht="19.5" customHeight="1">
      <c r="A41" s="14">
        <v>4</v>
      </c>
      <c r="B41" s="108" t="s">
        <v>14</v>
      </c>
      <c r="C41" s="109"/>
      <c r="D41" s="60">
        <v>2400</v>
      </c>
      <c r="E41" s="27"/>
      <c r="F41" s="27">
        <v>15</v>
      </c>
      <c r="G41" s="27">
        <v>25</v>
      </c>
      <c r="H41" s="27">
        <v>400</v>
      </c>
      <c r="I41" s="27">
        <v>60</v>
      </c>
      <c r="J41" s="27"/>
      <c r="K41" s="27"/>
      <c r="L41" s="27">
        <f>SUM(E41:J41)</f>
        <v>500</v>
      </c>
      <c r="M41" s="33">
        <v>0</v>
      </c>
      <c r="N41" s="33">
        <v>0</v>
      </c>
      <c r="O41" s="16">
        <v>0</v>
      </c>
      <c r="P41" s="16">
        <v>0</v>
      </c>
      <c r="Q41" s="16">
        <f>O41+N41+M41</f>
        <v>0</v>
      </c>
      <c r="R41" s="16">
        <f t="shared" si="2"/>
        <v>0</v>
      </c>
    </row>
    <row r="42" spans="1:18" ht="19.5" customHeight="1">
      <c r="A42" s="14">
        <v>5</v>
      </c>
      <c r="B42" s="108" t="s">
        <v>15</v>
      </c>
      <c r="C42" s="109"/>
      <c r="D42" s="60">
        <v>2500</v>
      </c>
      <c r="E42" s="27"/>
      <c r="F42" s="27"/>
      <c r="G42" s="27"/>
      <c r="H42" s="27">
        <v>2000</v>
      </c>
      <c r="I42" s="27"/>
      <c r="J42" s="27"/>
      <c r="K42" s="27"/>
      <c r="L42" s="27">
        <f>SUM(E42:J42)</f>
        <v>2000</v>
      </c>
      <c r="M42" s="33">
        <v>0</v>
      </c>
      <c r="N42" s="33">
        <v>0</v>
      </c>
      <c r="O42" s="16">
        <v>0</v>
      </c>
      <c r="P42" s="16">
        <v>0</v>
      </c>
      <c r="Q42" s="16">
        <f>O42+N42+M42</f>
        <v>0</v>
      </c>
      <c r="R42" s="16">
        <f t="shared" si="2"/>
        <v>0</v>
      </c>
    </row>
    <row r="43" spans="1:18" ht="19.5" customHeight="1">
      <c r="A43" s="14">
        <v>6</v>
      </c>
      <c r="B43" s="108" t="s">
        <v>16</v>
      </c>
      <c r="C43" s="109"/>
      <c r="D43" s="60">
        <v>2600</v>
      </c>
      <c r="E43" s="27"/>
      <c r="F43" s="27">
        <v>700</v>
      </c>
      <c r="G43" s="27">
        <v>2600</v>
      </c>
      <c r="H43" s="27">
        <v>45000</v>
      </c>
      <c r="I43" s="27">
        <v>7885</v>
      </c>
      <c r="J43" s="27"/>
      <c r="K43" s="27"/>
      <c r="L43" s="27">
        <v>58185</v>
      </c>
      <c r="M43" s="16">
        <v>360.2</v>
      </c>
      <c r="N43" s="16">
        <v>1582.9</v>
      </c>
      <c r="O43" s="16">
        <v>4303.5</v>
      </c>
      <c r="P43" s="16">
        <f>M88+58.8+30</f>
        <v>1888.3000000000002</v>
      </c>
      <c r="Q43" s="16">
        <f>O43+N43+M43</f>
        <v>6246.599999999999</v>
      </c>
      <c r="R43" s="16">
        <f t="shared" si="2"/>
        <v>10.73575663830884</v>
      </c>
    </row>
    <row r="44" spans="1:18" ht="19.5" customHeight="1">
      <c r="A44" s="14">
        <v>7</v>
      </c>
      <c r="B44" s="108" t="s">
        <v>17</v>
      </c>
      <c r="C44" s="109"/>
      <c r="D44" s="60"/>
      <c r="E44" s="15"/>
      <c r="F44" s="15"/>
      <c r="G44" s="15"/>
      <c r="H44" s="15"/>
      <c r="I44" s="15"/>
      <c r="J44" s="16"/>
      <c r="K44" s="16"/>
      <c r="L44" s="16">
        <f>L45+L46</f>
        <v>11100</v>
      </c>
      <c r="M44" s="33">
        <v>50</v>
      </c>
      <c r="N44" s="33">
        <v>2158.1</v>
      </c>
      <c r="O44" s="33">
        <v>313.8</v>
      </c>
      <c r="P44" s="33">
        <v>0</v>
      </c>
      <c r="Q44" s="16">
        <f>SUM(M44:P44)</f>
        <v>2521.9</v>
      </c>
      <c r="R44" s="16">
        <f t="shared" si="2"/>
        <v>22.71981981981982</v>
      </c>
    </row>
    <row r="45" spans="1:18" ht="19.5" customHeight="1">
      <c r="A45" s="14"/>
      <c r="B45" s="66" t="s">
        <v>4</v>
      </c>
      <c r="C45" s="67" t="s">
        <v>18</v>
      </c>
      <c r="D45" s="60">
        <v>2665</v>
      </c>
      <c r="E45" s="27"/>
      <c r="F45" s="27"/>
      <c r="G45" s="27"/>
      <c r="H45" s="27"/>
      <c r="I45" s="27"/>
      <c r="J45" s="27">
        <v>2400</v>
      </c>
      <c r="K45" s="27"/>
      <c r="L45" s="27">
        <f aca="true" t="shared" si="3" ref="L45:L57">SUM(E45:J45)</f>
        <v>2400</v>
      </c>
      <c r="M45" s="33"/>
      <c r="N45" s="33">
        <v>1854.7</v>
      </c>
      <c r="O45" s="16"/>
      <c r="P45" s="16"/>
      <c r="Q45" s="16"/>
      <c r="R45" s="16">
        <f t="shared" si="2"/>
        <v>0</v>
      </c>
    </row>
    <row r="46" spans="1:18" ht="19.5" customHeight="1">
      <c r="A46" s="14"/>
      <c r="B46" s="66" t="s">
        <v>5</v>
      </c>
      <c r="C46" s="67" t="s">
        <v>45</v>
      </c>
      <c r="D46" s="60">
        <v>2665</v>
      </c>
      <c r="E46" s="27"/>
      <c r="F46" s="27">
        <v>50</v>
      </c>
      <c r="G46" s="27">
        <v>150</v>
      </c>
      <c r="H46" s="27">
        <v>6500</v>
      </c>
      <c r="I46" s="27">
        <v>2000</v>
      </c>
      <c r="J46" s="27"/>
      <c r="K46" s="27"/>
      <c r="L46" s="27">
        <f t="shared" si="3"/>
        <v>8700</v>
      </c>
      <c r="M46" s="33">
        <v>50</v>
      </c>
      <c r="N46" s="33">
        <v>303.4</v>
      </c>
      <c r="O46" s="16">
        <v>313.8</v>
      </c>
      <c r="P46" s="16">
        <f>10.6+407.6</f>
        <v>418.20000000000005</v>
      </c>
      <c r="Q46" s="16"/>
      <c r="R46" s="16">
        <f t="shared" si="2"/>
        <v>0</v>
      </c>
    </row>
    <row r="47" spans="1:18" ht="19.5" customHeight="1">
      <c r="A47" s="14">
        <v>8</v>
      </c>
      <c r="B47" s="108" t="s">
        <v>49</v>
      </c>
      <c r="C47" s="109"/>
      <c r="D47" s="60">
        <v>2800</v>
      </c>
      <c r="E47" s="27"/>
      <c r="F47" s="27"/>
      <c r="G47" s="16"/>
      <c r="H47" s="27">
        <v>2000</v>
      </c>
      <c r="I47" s="27"/>
      <c r="J47" s="27"/>
      <c r="K47" s="27"/>
      <c r="L47" s="27">
        <f t="shared" si="3"/>
        <v>2000</v>
      </c>
      <c r="M47" s="33">
        <v>8</v>
      </c>
      <c r="N47" s="33">
        <v>9</v>
      </c>
      <c r="O47" s="16"/>
      <c r="P47" s="16">
        <v>0</v>
      </c>
      <c r="Q47" s="16">
        <f>M47+N47+O47</f>
        <v>17</v>
      </c>
      <c r="R47" s="16">
        <f t="shared" si="2"/>
        <v>0.8500000000000001</v>
      </c>
    </row>
    <row r="48" spans="1:18" ht="19.5" customHeight="1">
      <c r="A48" s="14">
        <v>9</v>
      </c>
      <c r="B48" s="108" t="s">
        <v>19</v>
      </c>
      <c r="C48" s="109"/>
      <c r="D48" s="60">
        <v>3000</v>
      </c>
      <c r="E48" s="27"/>
      <c r="F48" s="27">
        <v>100</v>
      </c>
      <c r="G48" s="27">
        <v>200</v>
      </c>
      <c r="H48" s="27">
        <v>2000</v>
      </c>
      <c r="I48" s="27">
        <v>1300</v>
      </c>
      <c r="J48" s="27"/>
      <c r="K48" s="27"/>
      <c r="L48" s="27">
        <f t="shared" si="3"/>
        <v>3600</v>
      </c>
      <c r="M48" s="33">
        <v>353</v>
      </c>
      <c r="N48" s="33">
        <v>278.8</v>
      </c>
      <c r="O48" s="16">
        <v>295.5</v>
      </c>
      <c r="P48" s="16">
        <f>384.3+5+5</f>
        <v>394.3</v>
      </c>
      <c r="Q48" s="16">
        <f aca="true" t="shared" si="4" ref="Q48:Q57">M48+N48+O48</f>
        <v>927.3</v>
      </c>
      <c r="R48" s="16">
        <f t="shared" si="2"/>
        <v>25.758333333333333</v>
      </c>
    </row>
    <row r="49" spans="1:18" ht="19.5" customHeight="1">
      <c r="A49" s="14">
        <v>10</v>
      </c>
      <c r="B49" s="108" t="s">
        <v>20</v>
      </c>
      <c r="C49" s="109"/>
      <c r="D49" s="60">
        <v>3500</v>
      </c>
      <c r="E49" s="27"/>
      <c r="F49" s="27">
        <v>500</v>
      </c>
      <c r="G49" s="27">
        <v>1800</v>
      </c>
      <c r="H49" s="27">
        <v>5800</v>
      </c>
      <c r="I49" s="27">
        <v>4400</v>
      </c>
      <c r="J49" s="27"/>
      <c r="K49" s="27"/>
      <c r="L49" s="27">
        <f t="shared" si="3"/>
        <v>12500</v>
      </c>
      <c r="M49" s="33">
        <v>1399.8</v>
      </c>
      <c r="N49" s="33">
        <v>1425.5</v>
      </c>
      <c r="O49" s="16">
        <v>1300.6</v>
      </c>
      <c r="P49" s="16">
        <v>1337.5</v>
      </c>
      <c r="Q49" s="16">
        <f t="shared" si="4"/>
        <v>4125.9</v>
      </c>
      <c r="R49" s="16">
        <f t="shared" si="2"/>
        <v>33.0072</v>
      </c>
    </row>
    <row r="50" spans="1:18" ht="19.5" customHeight="1">
      <c r="A50" s="14">
        <v>11</v>
      </c>
      <c r="B50" s="108" t="s">
        <v>97</v>
      </c>
      <c r="C50" s="109"/>
      <c r="D50" s="60">
        <v>3550</v>
      </c>
      <c r="E50" s="27"/>
      <c r="F50" s="27">
        <v>500</v>
      </c>
      <c r="G50" s="27">
        <v>2000</v>
      </c>
      <c r="H50" s="27">
        <v>5800</v>
      </c>
      <c r="I50" s="27">
        <v>4200</v>
      </c>
      <c r="J50" s="27"/>
      <c r="K50" s="27"/>
      <c r="L50" s="27">
        <f t="shared" si="3"/>
        <v>12500</v>
      </c>
      <c r="M50" s="33">
        <v>1670.1</v>
      </c>
      <c r="N50" s="33">
        <v>1927</v>
      </c>
      <c r="O50" s="16">
        <v>1541.7</v>
      </c>
      <c r="P50" s="16">
        <v>1514.1</v>
      </c>
      <c r="Q50" s="16">
        <f t="shared" si="4"/>
        <v>5138.8</v>
      </c>
      <c r="R50" s="16">
        <f t="shared" si="2"/>
        <v>41.110400000000006</v>
      </c>
    </row>
    <row r="51" spans="1:18" ht="19.5" customHeight="1">
      <c r="A51" s="14">
        <v>12</v>
      </c>
      <c r="B51" s="108" t="s">
        <v>21</v>
      </c>
      <c r="C51" s="109"/>
      <c r="D51" s="60">
        <v>3600</v>
      </c>
      <c r="E51" s="27"/>
      <c r="F51" s="27">
        <v>100</v>
      </c>
      <c r="G51" s="27">
        <v>200</v>
      </c>
      <c r="H51" s="27">
        <v>2800</v>
      </c>
      <c r="I51" s="27">
        <v>400</v>
      </c>
      <c r="J51" s="27"/>
      <c r="K51" s="27"/>
      <c r="L51" s="27">
        <f t="shared" si="3"/>
        <v>3500</v>
      </c>
      <c r="M51" s="33">
        <v>263.5</v>
      </c>
      <c r="N51" s="33">
        <v>259.4</v>
      </c>
      <c r="O51" s="16">
        <v>282.2</v>
      </c>
      <c r="P51" s="16">
        <v>396</v>
      </c>
      <c r="Q51" s="16">
        <f t="shared" si="4"/>
        <v>805.0999999999999</v>
      </c>
      <c r="R51" s="16">
        <f t="shared" si="2"/>
        <v>23.002857142857142</v>
      </c>
    </row>
    <row r="52" spans="1:18" ht="19.5" customHeight="1">
      <c r="A52" s="14">
        <v>13</v>
      </c>
      <c r="B52" s="108" t="s">
        <v>22</v>
      </c>
      <c r="C52" s="109"/>
      <c r="D52" s="60">
        <v>3700</v>
      </c>
      <c r="E52" s="27"/>
      <c r="F52" s="27">
        <v>70</v>
      </c>
      <c r="G52" s="27">
        <v>150</v>
      </c>
      <c r="H52" s="27">
        <v>430</v>
      </c>
      <c r="I52" s="27">
        <v>200</v>
      </c>
      <c r="J52" s="27"/>
      <c r="K52" s="27"/>
      <c r="L52" s="27">
        <f t="shared" si="3"/>
        <v>850</v>
      </c>
      <c r="M52" s="33">
        <v>41.5</v>
      </c>
      <c r="N52" s="33">
        <v>40.2</v>
      </c>
      <c r="O52" s="16">
        <v>83.2</v>
      </c>
      <c r="P52" s="16">
        <v>123.2</v>
      </c>
      <c r="Q52" s="16">
        <f t="shared" si="4"/>
        <v>164.9</v>
      </c>
      <c r="R52" s="16">
        <f t="shared" si="2"/>
        <v>19.400000000000002</v>
      </c>
    </row>
    <row r="53" spans="1:18" ht="19.5" customHeight="1">
      <c r="A53" s="14">
        <v>14</v>
      </c>
      <c r="B53" s="108" t="s">
        <v>23</v>
      </c>
      <c r="C53" s="109"/>
      <c r="D53" s="60">
        <v>4300</v>
      </c>
      <c r="E53" s="27"/>
      <c r="F53" s="27"/>
      <c r="G53" s="27"/>
      <c r="H53" s="27">
        <v>2000</v>
      </c>
      <c r="I53" s="27"/>
      <c r="J53" s="27"/>
      <c r="K53" s="27"/>
      <c r="L53" s="27">
        <f t="shared" si="3"/>
        <v>2000</v>
      </c>
      <c r="M53" s="33">
        <v>93.9</v>
      </c>
      <c r="N53" s="33">
        <v>24</v>
      </c>
      <c r="O53" s="16">
        <v>30</v>
      </c>
      <c r="P53" s="16">
        <v>770.8</v>
      </c>
      <c r="Q53" s="16">
        <f t="shared" si="4"/>
        <v>147.9</v>
      </c>
      <c r="R53" s="16">
        <f t="shared" si="2"/>
        <v>7.3950000000000005</v>
      </c>
    </row>
    <row r="54" spans="1:18" ht="19.5" customHeight="1">
      <c r="A54" s="14">
        <v>15</v>
      </c>
      <c r="B54" s="108" t="s">
        <v>24</v>
      </c>
      <c r="C54" s="109"/>
      <c r="D54" s="60">
        <v>4970</v>
      </c>
      <c r="E54" s="27"/>
      <c r="F54" s="27"/>
      <c r="G54" s="27"/>
      <c r="H54" s="27">
        <v>5000</v>
      </c>
      <c r="I54" s="27"/>
      <c r="J54" s="27"/>
      <c r="K54" s="27"/>
      <c r="L54" s="27">
        <f t="shared" si="3"/>
        <v>5000</v>
      </c>
      <c r="M54" s="33">
        <v>197.5</v>
      </c>
      <c r="N54" s="33">
        <v>100</v>
      </c>
      <c r="O54" s="16">
        <v>120</v>
      </c>
      <c r="P54" s="16">
        <v>0</v>
      </c>
      <c r="Q54" s="16">
        <f t="shared" si="4"/>
        <v>417.5</v>
      </c>
      <c r="R54" s="16">
        <f t="shared" si="2"/>
        <v>8.35</v>
      </c>
    </row>
    <row r="55" spans="1:18" ht="19.5" customHeight="1">
      <c r="A55" s="14">
        <v>16</v>
      </c>
      <c r="B55" s="120" t="s">
        <v>25</v>
      </c>
      <c r="C55" s="120"/>
      <c r="D55" s="60">
        <v>6600</v>
      </c>
      <c r="E55" s="27"/>
      <c r="F55" s="27">
        <v>1000</v>
      </c>
      <c r="G55" s="27"/>
      <c r="H55" s="27">
        <v>3000</v>
      </c>
      <c r="I55" s="27">
        <v>500</v>
      </c>
      <c r="J55" s="27">
        <v>1560</v>
      </c>
      <c r="K55" s="27"/>
      <c r="L55" s="27">
        <f t="shared" si="3"/>
        <v>6060</v>
      </c>
      <c r="M55" s="33">
        <v>199</v>
      </c>
      <c r="N55" s="33">
        <v>0</v>
      </c>
      <c r="O55" s="16"/>
      <c r="P55" s="16">
        <v>0</v>
      </c>
      <c r="Q55" s="16">
        <f t="shared" si="4"/>
        <v>199</v>
      </c>
      <c r="R55" s="16">
        <f t="shared" si="2"/>
        <v>3.283828382838284</v>
      </c>
    </row>
    <row r="56" spans="1:18" ht="19.5" customHeight="1">
      <c r="A56" s="14">
        <v>17</v>
      </c>
      <c r="B56" s="120" t="s">
        <v>26</v>
      </c>
      <c r="C56" s="120"/>
      <c r="D56" s="60">
        <v>7700</v>
      </c>
      <c r="E56" s="27"/>
      <c r="F56" s="27"/>
      <c r="G56" s="27">
        <v>6000</v>
      </c>
      <c r="H56" s="27">
        <v>1000</v>
      </c>
      <c r="I56" s="27"/>
      <c r="J56" s="27"/>
      <c r="K56" s="27"/>
      <c r="L56" s="27">
        <f t="shared" si="3"/>
        <v>7000</v>
      </c>
      <c r="M56" s="33">
        <v>92.4</v>
      </c>
      <c r="N56" s="33">
        <v>0</v>
      </c>
      <c r="O56" s="16"/>
      <c r="P56" s="16">
        <v>0</v>
      </c>
      <c r="Q56" s="16">
        <f t="shared" si="4"/>
        <v>92.4</v>
      </c>
      <c r="R56" s="16">
        <f t="shared" si="2"/>
        <v>1.32</v>
      </c>
    </row>
    <row r="57" spans="1:18" ht="19.5" customHeight="1">
      <c r="A57" s="14">
        <v>18</v>
      </c>
      <c r="B57" s="120" t="s">
        <v>27</v>
      </c>
      <c r="C57" s="120"/>
      <c r="D57" s="60">
        <v>1400</v>
      </c>
      <c r="E57" s="27"/>
      <c r="F57" s="27">
        <v>5512</v>
      </c>
      <c r="G57" s="27"/>
      <c r="H57" s="27">
        <v>1920</v>
      </c>
      <c r="I57" s="27">
        <v>12000</v>
      </c>
      <c r="J57" s="27"/>
      <c r="K57" s="27"/>
      <c r="L57" s="27">
        <f t="shared" si="3"/>
        <v>19432</v>
      </c>
      <c r="M57" s="33">
        <v>12.1</v>
      </c>
      <c r="N57" s="33">
        <v>1956.9</v>
      </c>
      <c r="O57" s="16">
        <v>1985.6</v>
      </c>
      <c r="P57" s="16">
        <f>1383.9+467.9+160</f>
        <v>2011.8000000000002</v>
      </c>
      <c r="Q57" s="16">
        <f t="shared" si="4"/>
        <v>3954.6</v>
      </c>
      <c r="R57" s="16">
        <f t="shared" si="2"/>
        <v>20.350967476327707</v>
      </c>
    </row>
    <row r="58" spans="1:18" ht="19.5" customHeight="1">
      <c r="A58" s="19"/>
      <c r="B58" s="121" t="s">
        <v>28</v>
      </c>
      <c r="C58" s="121"/>
      <c r="D58" s="59"/>
      <c r="E58" s="27">
        <f aca="true" t="shared" si="5" ref="E58:J58">SUM(E38:E57)</f>
        <v>300</v>
      </c>
      <c r="F58" s="27">
        <f t="shared" si="5"/>
        <v>30566</v>
      </c>
      <c r="G58" s="27">
        <f t="shared" si="5"/>
        <v>80500</v>
      </c>
      <c r="H58" s="27">
        <f t="shared" si="5"/>
        <v>533520</v>
      </c>
      <c r="I58" s="27">
        <f>SUM(I38:I57)</f>
        <v>144014</v>
      </c>
      <c r="J58" s="27">
        <f t="shared" si="5"/>
        <v>7920</v>
      </c>
      <c r="K58" s="27"/>
      <c r="L58" s="38">
        <f>L38+L39+L40+L41+L42+L43+L44+L47+L48+L49+L50+L51+L52+L53+L54+L55+L56+L57</f>
        <v>801870</v>
      </c>
      <c r="M58" s="33">
        <v>54264.2</v>
      </c>
      <c r="N58" s="33">
        <v>63221.100000000006</v>
      </c>
      <c r="O58" s="16">
        <v>59646.49999999999</v>
      </c>
      <c r="P58" s="16">
        <f>SUM(P38:P57)</f>
        <v>58432.40000000001</v>
      </c>
      <c r="Q58" s="16">
        <f>SUM(M58:P58)</f>
        <v>235564.2</v>
      </c>
      <c r="R58" s="16">
        <f>Q58/L58*100</f>
        <v>29.376856597702872</v>
      </c>
    </row>
    <row r="59" spans="1:12" ht="19.5" customHeight="1">
      <c r="A59" s="25"/>
      <c r="B59" s="17"/>
      <c r="C59" s="17"/>
      <c r="D59" s="18"/>
      <c r="E59" s="5"/>
      <c r="F59" s="5"/>
      <c r="G59" s="5"/>
      <c r="H59" s="5"/>
      <c r="I59" s="5"/>
      <c r="J59" s="5"/>
      <c r="K59" s="5"/>
      <c r="L59" s="30"/>
    </row>
    <row r="60" spans="1:12" ht="19.5" customHeight="1">
      <c r="A60" s="25"/>
      <c r="B60" s="17"/>
      <c r="C60" s="17"/>
      <c r="D60" s="18"/>
      <c r="E60" s="5"/>
      <c r="F60" s="5"/>
      <c r="G60" s="5"/>
      <c r="H60" s="5"/>
      <c r="I60" s="5"/>
      <c r="J60" s="5"/>
      <c r="K60" s="5"/>
      <c r="L60" s="30"/>
    </row>
    <row r="61" spans="1:16" ht="55.5" customHeight="1">
      <c r="A61" s="19" t="s">
        <v>1</v>
      </c>
      <c r="B61" s="123" t="s">
        <v>16</v>
      </c>
      <c r="C61" s="123"/>
      <c r="D61" s="123"/>
      <c r="E61" s="123"/>
      <c r="F61" s="123"/>
      <c r="G61" s="123"/>
      <c r="H61" s="123"/>
      <c r="I61" s="34" t="s">
        <v>36</v>
      </c>
      <c r="J61" s="34" t="s">
        <v>85</v>
      </c>
      <c r="K61" s="34" t="s">
        <v>88</v>
      </c>
      <c r="L61" s="34" t="s">
        <v>89</v>
      </c>
      <c r="M61" s="34" t="s">
        <v>96</v>
      </c>
      <c r="N61" s="34" t="s">
        <v>28</v>
      </c>
      <c r="O61" s="63" t="s">
        <v>86</v>
      </c>
      <c r="P61" s="62"/>
    </row>
    <row r="62" spans="1:15" ht="16.5" customHeight="1">
      <c r="A62" s="19">
        <v>1</v>
      </c>
      <c r="B62" s="116" t="s">
        <v>37</v>
      </c>
      <c r="C62" s="116"/>
      <c r="D62" s="116"/>
      <c r="E62" s="116"/>
      <c r="F62" s="116"/>
      <c r="G62" s="116"/>
      <c r="H62" s="116"/>
      <c r="I62" s="16">
        <v>1000</v>
      </c>
      <c r="J62" s="16"/>
      <c r="K62" s="16">
        <v>21.8</v>
      </c>
      <c r="L62" s="16"/>
      <c r="M62" s="33"/>
      <c r="N62" s="16">
        <f aca="true" t="shared" si="6" ref="N62:N87">SUM(J62:L62)</f>
        <v>21.8</v>
      </c>
      <c r="O62" s="16">
        <f aca="true" t="shared" si="7" ref="O62:O87">N62/I62*100</f>
        <v>2.18</v>
      </c>
    </row>
    <row r="63" spans="1:15" ht="16.5" customHeight="1">
      <c r="A63" s="19">
        <v>2</v>
      </c>
      <c r="B63" s="116" t="s">
        <v>38</v>
      </c>
      <c r="C63" s="116"/>
      <c r="D63" s="116"/>
      <c r="E63" s="116"/>
      <c r="F63" s="116"/>
      <c r="G63" s="116"/>
      <c r="H63" s="116"/>
      <c r="I63" s="16">
        <v>1500</v>
      </c>
      <c r="J63" s="16"/>
      <c r="K63" s="16">
        <v>500</v>
      </c>
      <c r="L63" s="16"/>
      <c r="M63" s="33"/>
      <c r="N63" s="16">
        <f t="shared" si="6"/>
        <v>500</v>
      </c>
      <c r="O63" s="16">
        <f t="shared" si="7"/>
        <v>33.33333333333333</v>
      </c>
    </row>
    <row r="64" spans="1:15" ht="16.5" customHeight="1">
      <c r="A64" s="19">
        <v>3</v>
      </c>
      <c r="B64" s="116" t="s">
        <v>56</v>
      </c>
      <c r="C64" s="116"/>
      <c r="D64" s="116"/>
      <c r="E64" s="116"/>
      <c r="F64" s="116"/>
      <c r="G64" s="116"/>
      <c r="H64" s="116"/>
      <c r="I64" s="16">
        <v>3200</v>
      </c>
      <c r="J64" s="16"/>
      <c r="K64" s="16"/>
      <c r="L64" s="16"/>
      <c r="M64" s="33"/>
      <c r="N64" s="16">
        <f t="shared" si="6"/>
        <v>0</v>
      </c>
      <c r="O64" s="16">
        <f t="shared" si="7"/>
        <v>0</v>
      </c>
    </row>
    <row r="65" spans="1:15" ht="16.5" customHeight="1">
      <c r="A65" s="19">
        <v>4</v>
      </c>
      <c r="B65" s="116" t="s">
        <v>66</v>
      </c>
      <c r="C65" s="116"/>
      <c r="D65" s="116"/>
      <c r="E65" s="116"/>
      <c r="F65" s="116"/>
      <c r="G65" s="116"/>
      <c r="H65" s="116"/>
      <c r="I65" s="16">
        <f>4500+300</f>
        <v>4800</v>
      </c>
      <c r="J65" s="16"/>
      <c r="K65" s="16"/>
      <c r="L65" s="16"/>
      <c r="M65" s="33"/>
      <c r="N65" s="16">
        <f t="shared" si="6"/>
        <v>0</v>
      </c>
      <c r="O65" s="16">
        <f t="shared" si="7"/>
        <v>0</v>
      </c>
    </row>
    <row r="66" spans="1:15" ht="16.5" customHeight="1">
      <c r="A66" s="19">
        <v>5</v>
      </c>
      <c r="B66" s="116" t="s">
        <v>50</v>
      </c>
      <c r="C66" s="116"/>
      <c r="D66" s="116"/>
      <c r="E66" s="116"/>
      <c r="F66" s="116"/>
      <c r="G66" s="116"/>
      <c r="H66" s="116"/>
      <c r="I66" s="16">
        <f>265+50+500</f>
        <v>815</v>
      </c>
      <c r="J66" s="16">
        <v>6</v>
      </c>
      <c r="K66" s="16">
        <v>1.7</v>
      </c>
      <c r="L66" s="16"/>
      <c r="M66" s="33"/>
      <c r="N66" s="16">
        <f t="shared" si="6"/>
        <v>7.7</v>
      </c>
      <c r="O66" s="16">
        <f t="shared" si="7"/>
        <v>0.9447852760736196</v>
      </c>
    </row>
    <row r="67" spans="1:15" ht="16.5" customHeight="1">
      <c r="A67" s="19">
        <v>6</v>
      </c>
      <c r="B67" s="116" t="s">
        <v>51</v>
      </c>
      <c r="C67" s="116"/>
      <c r="D67" s="116"/>
      <c r="E67" s="116"/>
      <c r="F67" s="116"/>
      <c r="G67" s="116"/>
      <c r="H67" s="116"/>
      <c r="I67" s="16">
        <f>1800</f>
        <v>1800</v>
      </c>
      <c r="J67" s="16"/>
      <c r="K67" s="16"/>
      <c r="L67" s="16">
        <f>5+5.1</f>
        <v>10.1</v>
      </c>
      <c r="M67" s="33"/>
      <c r="N67" s="16">
        <f t="shared" si="6"/>
        <v>10.1</v>
      </c>
      <c r="O67" s="16">
        <f t="shared" si="7"/>
        <v>0.5611111111111111</v>
      </c>
    </row>
    <row r="68" spans="1:15" ht="16.5" customHeight="1">
      <c r="A68" s="19">
        <v>7</v>
      </c>
      <c r="B68" s="116" t="s">
        <v>52</v>
      </c>
      <c r="C68" s="116"/>
      <c r="D68" s="116"/>
      <c r="E68" s="116"/>
      <c r="F68" s="116"/>
      <c r="G68" s="116"/>
      <c r="H68" s="116"/>
      <c r="I68" s="16">
        <f>200+500</f>
        <v>700</v>
      </c>
      <c r="J68" s="16"/>
      <c r="K68" s="16">
        <v>30</v>
      </c>
      <c r="L68" s="16"/>
      <c r="M68" s="33">
        <f>5</f>
        <v>5</v>
      </c>
      <c r="N68" s="16">
        <f t="shared" si="6"/>
        <v>30</v>
      </c>
      <c r="O68" s="16">
        <f t="shared" si="7"/>
        <v>4.285714285714286</v>
      </c>
    </row>
    <row r="69" spans="1:15" ht="16.5" customHeight="1">
      <c r="A69" s="19">
        <v>8</v>
      </c>
      <c r="B69" s="116" t="s">
        <v>53</v>
      </c>
      <c r="C69" s="116"/>
      <c r="D69" s="116"/>
      <c r="E69" s="116"/>
      <c r="F69" s="116"/>
      <c r="G69" s="116"/>
      <c r="H69" s="116"/>
      <c r="I69" s="16">
        <v>6000</v>
      </c>
      <c r="J69" s="16"/>
      <c r="K69" s="16">
        <v>221.5</v>
      </c>
      <c r="L69" s="16">
        <v>1655</v>
      </c>
      <c r="M69" s="33"/>
      <c r="N69" s="16">
        <f t="shared" si="6"/>
        <v>1876.5</v>
      </c>
      <c r="O69" s="16">
        <f t="shared" si="7"/>
        <v>31.275</v>
      </c>
    </row>
    <row r="70" spans="1:15" ht="16.5" customHeight="1">
      <c r="A70" s="19">
        <v>9</v>
      </c>
      <c r="B70" s="116" t="s">
        <v>39</v>
      </c>
      <c r="C70" s="116"/>
      <c r="D70" s="116"/>
      <c r="E70" s="116"/>
      <c r="F70" s="116"/>
      <c r="G70" s="116"/>
      <c r="H70" s="116"/>
      <c r="I70" s="16">
        <v>1900</v>
      </c>
      <c r="J70" s="16"/>
      <c r="K70" s="16"/>
      <c r="L70" s="16"/>
      <c r="M70" s="33"/>
      <c r="N70" s="16">
        <f t="shared" si="6"/>
        <v>0</v>
      </c>
      <c r="O70" s="16">
        <f t="shared" si="7"/>
        <v>0</v>
      </c>
    </row>
    <row r="71" spans="1:15" ht="16.5" customHeight="1">
      <c r="A71" s="19">
        <v>10</v>
      </c>
      <c r="B71" s="116" t="s">
        <v>62</v>
      </c>
      <c r="C71" s="116"/>
      <c r="D71" s="116"/>
      <c r="E71" s="116"/>
      <c r="F71" s="116"/>
      <c r="G71" s="116"/>
      <c r="H71" s="116"/>
      <c r="I71" s="16">
        <v>2500</v>
      </c>
      <c r="J71" s="16"/>
      <c r="K71" s="16"/>
      <c r="L71" s="16">
        <v>531.9</v>
      </c>
      <c r="M71" s="33">
        <v>380.1</v>
      </c>
      <c r="N71" s="16">
        <f t="shared" si="6"/>
        <v>531.9</v>
      </c>
      <c r="O71" s="16">
        <f t="shared" si="7"/>
        <v>21.276</v>
      </c>
    </row>
    <row r="72" spans="1:15" ht="16.5" customHeight="1">
      <c r="A72" s="19">
        <v>11</v>
      </c>
      <c r="B72" s="116" t="s">
        <v>65</v>
      </c>
      <c r="C72" s="116"/>
      <c r="D72" s="116"/>
      <c r="E72" s="116"/>
      <c r="F72" s="116"/>
      <c r="G72" s="116"/>
      <c r="H72" s="116"/>
      <c r="I72" s="16">
        <v>1500</v>
      </c>
      <c r="J72" s="16"/>
      <c r="K72" s="16">
        <v>232.5</v>
      </c>
      <c r="L72" s="16"/>
      <c r="M72" s="33"/>
      <c r="N72" s="16">
        <f t="shared" si="6"/>
        <v>232.5</v>
      </c>
      <c r="O72" s="16">
        <f t="shared" si="7"/>
        <v>15.5</v>
      </c>
    </row>
    <row r="73" spans="1:15" ht="16.5" customHeight="1">
      <c r="A73" s="19">
        <v>12</v>
      </c>
      <c r="B73" s="116" t="s">
        <v>69</v>
      </c>
      <c r="C73" s="116"/>
      <c r="D73" s="116"/>
      <c r="E73" s="116"/>
      <c r="F73" s="116"/>
      <c r="G73" s="116"/>
      <c r="H73" s="116"/>
      <c r="I73" s="16">
        <v>1200</v>
      </c>
      <c r="J73" s="16"/>
      <c r="K73" s="16"/>
      <c r="L73" s="16"/>
      <c r="M73" s="33"/>
      <c r="N73" s="16">
        <f t="shared" si="6"/>
        <v>0</v>
      </c>
      <c r="O73" s="16">
        <f t="shared" si="7"/>
        <v>0</v>
      </c>
    </row>
    <row r="74" spans="1:15" ht="16.5" customHeight="1">
      <c r="A74" s="19">
        <v>13</v>
      </c>
      <c r="B74" s="116" t="s">
        <v>40</v>
      </c>
      <c r="C74" s="116"/>
      <c r="D74" s="116"/>
      <c r="E74" s="116"/>
      <c r="F74" s="116"/>
      <c r="G74" s="116"/>
      <c r="H74" s="116"/>
      <c r="I74" s="16">
        <v>1200</v>
      </c>
      <c r="J74" s="16">
        <v>81.5</v>
      </c>
      <c r="K74" s="16">
        <v>81.5</v>
      </c>
      <c r="L74" s="16">
        <v>81.5</v>
      </c>
      <c r="M74" s="33">
        <v>81.5</v>
      </c>
      <c r="N74" s="16">
        <f t="shared" si="6"/>
        <v>244.5</v>
      </c>
      <c r="O74" s="16">
        <f t="shared" si="7"/>
        <v>20.375</v>
      </c>
    </row>
    <row r="75" spans="1:15" ht="16.5" customHeight="1">
      <c r="A75" s="19">
        <v>14</v>
      </c>
      <c r="B75" s="116" t="s">
        <v>70</v>
      </c>
      <c r="C75" s="116"/>
      <c r="D75" s="116"/>
      <c r="E75" s="116"/>
      <c r="F75" s="116"/>
      <c r="G75" s="116"/>
      <c r="H75" s="116"/>
      <c r="I75" s="16">
        <v>2000</v>
      </c>
      <c r="J75" s="16"/>
      <c r="K75" s="16"/>
      <c r="L75" s="16">
        <v>945</v>
      </c>
      <c r="M75" s="33"/>
      <c r="N75" s="16">
        <f t="shared" si="6"/>
        <v>945</v>
      </c>
      <c r="O75" s="16">
        <f t="shared" si="7"/>
        <v>47.25</v>
      </c>
    </row>
    <row r="76" spans="1:15" ht="16.5" customHeight="1">
      <c r="A76" s="19">
        <v>15</v>
      </c>
      <c r="B76" s="116" t="s">
        <v>41</v>
      </c>
      <c r="C76" s="116"/>
      <c r="D76" s="116"/>
      <c r="E76" s="116"/>
      <c r="F76" s="116"/>
      <c r="G76" s="116"/>
      <c r="H76" s="116"/>
      <c r="I76" s="16">
        <v>7000</v>
      </c>
      <c r="J76" s="16"/>
      <c r="K76" s="16"/>
      <c r="L76" s="16"/>
      <c r="M76" s="33"/>
      <c r="N76" s="16">
        <f t="shared" si="6"/>
        <v>0</v>
      </c>
      <c r="O76" s="16">
        <f t="shared" si="7"/>
        <v>0</v>
      </c>
    </row>
    <row r="77" spans="1:15" ht="16.5" customHeight="1">
      <c r="A77" s="19">
        <v>16</v>
      </c>
      <c r="B77" s="116" t="s">
        <v>48</v>
      </c>
      <c r="C77" s="116"/>
      <c r="D77" s="116"/>
      <c r="E77" s="116"/>
      <c r="F77" s="116"/>
      <c r="G77" s="116"/>
      <c r="H77" s="116"/>
      <c r="I77" s="16">
        <v>1000</v>
      </c>
      <c r="J77" s="16"/>
      <c r="K77" s="16"/>
      <c r="L77" s="16"/>
      <c r="M77" s="33"/>
      <c r="N77" s="16">
        <f t="shared" si="6"/>
        <v>0</v>
      </c>
      <c r="O77" s="16">
        <f t="shared" si="7"/>
        <v>0</v>
      </c>
    </row>
    <row r="78" spans="1:15" ht="16.5" customHeight="1">
      <c r="A78" s="19">
        <v>17</v>
      </c>
      <c r="B78" s="116" t="s">
        <v>90</v>
      </c>
      <c r="C78" s="116"/>
      <c r="D78" s="116"/>
      <c r="E78" s="116"/>
      <c r="F78" s="116"/>
      <c r="G78" s="116"/>
      <c r="H78" s="116"/>
      <c r="I78" s="16">
        <v>3800</v>
      </c>
      <c r="J78" s="16">
        <v>50</v>
      </c>
      <c r="K78" s="16">
        <f>130+119.3</f>
        <v>249.3</v>
      </c>
      <c r="L78" s="16">
        <f>100+138.5</f>
        <v>238.5</v>
      </c>
      <c r="M78" s="33">
        <v>23.1</v>
      </c>
      <c r="N78" s="16">
        <f t="shared" si="6"/>
        <v>537.8</v>
      </c>
      <c r="O78" s="16">
        <f t="shared" si="7"/>
        <v>14.152631578947366</v>
      </c>
    </row>
    <row r="79" spans="1:15" ht="16.5" customHeight="1">
      <c r="A79" s="19">
        <v>18</v>
      </c>
      <c r="B79" s="116" t="s">
        <v>67</v>
      </c>
      <c r="C79" s="116"/>
      <c r="D79" s="116"/>
      <c r="E79" s="116"/>
      <c r="F79" s="116"/>
      <c r="G79" s="116"/>
      <c r="H79" s="116"/>
      <c r="I79" s="16">
        <f>20+840+100+100+320+160+920+700-200</f>
        <v>2960</v>
      </c>
      <c r="J79" s="16">
        <f>28+154.5</f>
        <v>182.5</v>
      </c>
      <c r="K79" s="16">
        <f>42.7+47+45+35</f>
        <v>169.7</v>
      </c>
      <c r="L79" s="16">
        <f>133.7+30+457</f>
        <v>620.7</v>
      </c>
      <c r="M79" s="33">
        <f>172.9+978.7</f>
        <v>1151.6000000000001</v>
      </c>
      <c r="N79" s="16">
        <f t="shared" si="6"/>
        <v>972.9000000000001</v>
      </c>
      <c r="O79" s="16">
        <f t="shared" si="7"/>
        <v>32.86824324324324</v>
      </c>
    </row>
    <row r="80" spans="1:15" ht="16.5" customHeight="1">
      <c r="A80" s="19">
        <v>19</v>
      </c>
      <c r="B80" s="91" t="s">
        <v>71</v>
      </c>
      <c r="C80" s="91"/>
      <c r="D80" s="91"/>
      <c r="E80" s="91"/>
      <c r="F80" s="91"/>
      <c r="G80" s="91"/>
      <c r="H80" s="91"/>
      <c r="I80" s="16">
        <v>1500</v>
      </c>
      <c r="J80" s="16"/>
      <c r="K80" s="16">
        <v>54.9</v>
      </c>
      <c r="L80" s="16">
        <v>48.6</v>
      </c>
      <c r="M80" s="33"/>
      <c r="N80" s="16">
        <f t="shared" si="6"/>
        <v>103.5</v>
      </c>
      <c r="O80" s="16">
        <f t="shared" si="7"/>
        <v>6.9</v>
      </c>
    </row>
    <row r="81" spans="1:15" ht="16.5" customHeight="1">
      <c r="A81" s="19">
        <v>20</v>
      </c>
      <c r="B81" s="91" t="s">
        <v>63</v>
      </c>
      <c r="C81" s="91"/>
      <c r="D81" s="91"/>
      <c r="E81" s="91"/>
      <c r="F81" s="91"/>
      <c r="G81" s="91"/>
      <c r="H81" s="91"/>
      <c r="I81" s="16">
        <v>1000</v>
      </c>
      <c r="J81" s="16"/>
      <c r="K81" s="16"/>
      <c r="L81" s="16"/>
      <c r="M81" s="33"/>
      <c r="N81" s="16">
        <f t="shared" si="6"/>
        <v>0</v>
      </c>
      <c r="O81" s="16">
        <f t="shared" si="7"/>
        <v>0</v>
      </c>
    </row>
    <row r="82" spans="1:15" ht="16.5" customHeight="1">
      <c r="A82" s="19">
        <v>21</v>
      </c>
      <c r="B82" s="91" t="s">
        <v>64</v>
      </c>
      <c r="C82" s="91"/>
      <c r="D82" s="91"/>
      <c r="E82" s="91"/>
      <c r="F82" s="91"/>
      <c r="G82" s="91"/>
      <c r="H82" s="91"/>
      <c r="I82" s="16">
        <v>810</v>
      </c>
      <c r="J82" s="16">
        <v>40.2</v>
      </c>
      <c r="K82" s="16">
        <v>10</v>
      </c>
      <c r="L82" s="16">
        <v>37.2</v>
      </c>
      <c r="M82" s="33">
        <v>103.2</v>
      </c>
      <c r="N82" s="16">
        <f t="shared" si="6"/>
        <v>87.4</v>
      </c>
      <c r="O82" s="16">
        <f t="shared" si="7"/>
        <v>10.790123456790123</v>
      </c>
    </row>
    <row r="83" spans="1:15" ht="16.5" customHeight="1">
      <c r="A83" s="19">
        <v>22</v>
      </c>
      <c r="B83" s="91" t="s">
        <v>76</v>
      </c>
      <c r="C83" s="91"/>
      <c r="D83" s="91"/>
      <c r="E83" s="91"/>
      <c r="F83" s="91"/>
      <c r="G83" s="91"/>
      <c r="H83" s="91"/>
      <c r="I83" s="16">
        <v>8000</v>
      </c>
      <c r="J83" s="16"/>
      <c r="K83" s="16"/>
      <c r="L83" s="16"/>
      <c r="M83" s="33"/>
      <c r="N83" s="16">
        <f t="shared" si="6"/>
        <v>0</v>
      </c>
      <c r="O83" s="16">
        <f t="shared" si="7"/>
        <v>0</v>
      </c>
    </row>
    <row r="84" spans="1:15" ht="16.5" customHeight="1">
      <c r="A84" s="19">
        <v>23</v>
      </c>
      <c r="B84" s="91" t="s">
        <v>82</v>
      </c>
      <c r="C84" s="91"/>
      <c r="D84" s="91"/>
      <c r="E84" s="91"/>
      <c r="F84" s="91"/>
      <c r="G84" s="91"/>
      <c r="H84" s="91"/>
      <c r="I84" s="16">
        <v>1000</v>
      </c>
      <c r="J84" s="16"/>
      <c r="K84" s="16"/>
      <c r="L84" s="16"/>
      <c r="M84" s="33"/>
      <c r="N84" s="16">
        <f t="shared" si="6"/>
        <v>0</v>
      </c>
      <c r="O84" s="16">
        <f t="shared" si="7"/>
        <v>0</v>
      </c>
    </row>
    <row r="85" spans="1:15" ht="16.5" customHeight="1">
      <c r="A85" s="19">
        <v>24</v>
      </c>
      <c r="B85" s="91" t="s">
        <v>77</v>
      </c>
      <c r="C85" s="91"/>
      <c r="D85" s="91"/>
      <c r="E85" s="91"/>
      <c r="F85" s="91"/>
      <c r="G85" s="91"/>
      <c r="H85" s="91"/>
      <c r="I85" s="16">
        <v>200</v>
      </c>
      <c r="J85" s="16"/>
      <c r="K85" s="16"/>
      <c r="L85" s="16">
        <v>100</v>
      </c>
      <c r="M85" s="33"/>
      <c r="N85" s="16">
        <f t="shared" si="6"/>
        <v>100</v>
      </c>
      <c r="O85" s="16">
        <f t="shared" si="7"/>
        <v>50</v>
      </c>
    </row>
    <row r="86" spans="1:15" ht="16.5" customHeight="1">
      <c r="A86" s="19">
        <v>25</v>
      </c>
      <c r="B86" s="116" t="s">
        <v>42</v>
      </c>
      <c r="C86" s="116"/>
      <c r="D86" s="116"/>
      <c r="E86" s="116"/>
      <c r="F86" s="116"/>
      <c r="G86" s="116"/>
      <c r="H86" s="116"/>
      <c r="I86" s="16">
        <v>400</v>
      </c>
      <c r="J86" s="16"/>
      <c r="K86" s="16"/>
      <c r="L86" s="16">
        <v>25</v>
      </c>
      <c r="M86" s="33"/>
      <c r="N86" s="16">
        <f t="shared" si="6"/>
        <v>25</v>
      </c>
      <c r="O86" s="16">
        <f t="shared" si="7"/>
        <v>6.25</v>
      </c>
    </row>
    <row r="87" spans="1:15" ht="16.5" customHeight="1">
      <c r="A87" s="19">
        <v>26</v>
      </c>
      <c r="B87" s="116" t="s">
        <v>43</v>
      </c>
      <c r="C87" s="116"/>
      <c r="D87" s="116"/>
      <c r="E87" s="116"/>
      <c r="F87" s="116"/>
      <c r="G87" s="116"/>
      <c r="H87" s="116"/>
      <c r="I87" s="16">
        <v>400</v>
      </c>
      <c r="J87" s="16"/>
      <c r="K87" s="16">
        <v>10</v>
      </c>
      <c r="L87" s="16">
        <v>10</v>
      </c>
      <c r="M87" s="33">
        <v>55</v>
      </c>
      <c r="N87" s="16">
        <f t="shared" si="6"/>
        <v>20</v>
      </c>
      <c r="O87" s="16">
        <f t="shared" si="7"/>
        <v>5</v>
      </c>
    </row>
    <row r="88" spans="1:15" ht="16.5" customHeight="1">
      <c r="A88" s="19"/>
      <c r="B88" s="122" t="s">
        <v>44</v>
      </c>
      <c r="C88" s="122"/>
      <c r="D88" s="122"/>
      <c r="E88" s="122"/>
      <c r="F88" s="122"/>
      <c r="G88" s="122"/>
      <c r="H88" s="122"/>
      <c r="I88" s="21">
        <f aca="true" t="shared" si="8" ref="I88:N88">SUM(I62:I87)</f>
        <v>58185</v>
      </c>
      <c r="J88" s="21">
        <f t="shared" si="8"/>
        <v>360.2</v>
      </c>
      <c r="K88" s="21">
        <f t="shared" si="8"/>
        <v>1582.9</v>
      </c>
      <c r="L88" s="21">
        <f t="shared" si="8"/>
        <v>4303.5</v>
      </c>
      <c r="M88" s="74">
        <f t="shared" si="8"/>
        <v>1799.5000000000002</v>
      </c>
      <c r="N88" s="21">
        <f t="shared" si="8"/>
        <v>6246.6</v>
      </c>
      <c r="O88" s="21">
        <f>N88/I88*100</f>
        <v>10.735756638308844</v>
      </c>
    </row>
    <row r="89" spans="1:12" ht="15.75" customHeight="1">
      <c r="A89" s="23"/>
      <c r="B89" s="20"/>
      <c r="C89" s="20"/>
      <c r="D89" s="20"/>
      <c r="J89" s="24"/>
      <c r="K89" s="65"/>
      <c r="L89" s="24"/>
    </row>
    <row r="90" spans="1:11" ht="16.5" customHeight="1">
      <c r="A90" s="23"/>
      <c r="B90" s="20"/>
      <c r="C90" s="20"/>
      <c r="D90" s="20"/>
      <c r="J90" s="24"/>
      <c r="K90" s="65"/>
    </row>
    <row r="91" spans="1:11" ht="16.5" customHeight="1">
      <c r="A91" s="23"/>
      <c r="B91" s="20"/>
      <c r="C91" s="20"/>
      <c r="D91" s="20"/>
      <c r="J91" s="24"/>
      <c r="K91" s="65"/>
    </row>
    <row r="92" spans="1:11" ht="16.5" customHeight="1">
      <c r="A92" s="23"/>
      <c r="B92" s="20" t="s">
        <v>99</v>
      </c>
      <c r="C92" s="20"/>
      <c r="D92" s="20"/>
      <c r="J92" s="24"/>
      <c r="K92" s="65"/>
    </row>
    <row r="93" spans="2:15" ht="12.75">
      <c r="B93" s="126" t="s">
        <v>109</v>
      </c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</row>
    <row r="94" spans="2:15" ht="12.75">
      <c r="B94" s="126" t="s">
        <v>106</v>
      </c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</row>
    <row r="95" spans="2:5" ht="12.75">
      <c r="B95" s="22">
        <v>1</v>
      </c>
      <c r="C95" s="22" t="s">
        <v>100</v>
      </c>
      <c r="E95" s="22" t="s">
        <v>101</v>
      </c>
    </row>
    <row r="96" spans="2:5" ht="12.75">
      <c r="B96" s="22">
        <v>2</v>
      </c>
      <c r="C96" s="22" t="s">
        <v>103</v>
      </c>
      <c r="E96" s="28" t="s">
        <v>102</v>
      </c>
    </row>
    <row r="97" spans="2:5" ht="12.75">
      <c r="B97" s="22">
        <v>3</v>
      </c>
      <c r="C97" s="22" t="s">
        <v>104</v>
      </c>
      <c r="E97" s="28" t="s">
        <v>105</v>
      </c>
    </row>
    <row r="98" ht="12.75">
      <c r="B98" s="22" t="s">
        <v>107</v>
      </c>
    </row>
    <row r="99" ht="12.75">
      <c r="B99" s="22" t="s">
        <v>108</v>
      </c>
    </row>
  </sheetData>
  <sheetProtection/>
  <mergeCells count="105">
    <mergeCell ref="B93:O93"/>
    <mergeCell ref="B94:O94"/>
    <mergeCell ref="B1:R1"/>
    <mergeCell ref="B2:R2"/>
    <mergeCell ref="B3:R3"/>
    <mergeCell ref="B4:R4"/>
    <mergeCell ref="B57:C57"/>
    <mergeCell ref="B67:H67"/>
    <mergeCell ref="B62:H62"/>
    <mergeCell ref="A5:R5"/>
    <mergeCell ref="A7:R7"/>
    <mergeCell ref="A8:R8"/>
    <mergeCell ref="B86:H86"/>
    <mergeCell ref="A9:R9"/>
    <mergeCell ref="B79:H79"/>
    <mergeCell ref="B85:H85"/>
    <mergeCell ref="B68:H68"/>
    <mergeCell ref="B74:H74"/>
    <mergeCell ref="B73:H73"/>
    <mergeCell ref="B82:H82"/>
    <mergeCell ref="B87:H87"/>
    <mergeCell ref="R36:R37"/>
    <mergeCell ref="B54:C54"/>
    <mergeCell ref="B69:H69"/>
    <mergeCell ref="B70:H70"/>
    <mergeCell ref="B71:H71"/>
    <mergeCell ref="B83:H83"/>
    <mergeCell ref="B63:H63"/>
    <mergeCell ref="B61:H61"/>
    <mergeCell ref="B81:H81"/>
    <mergeCell ref="B72:H72"/>
    <mergeCell ref="B42:C42"/>
    <mergeCell ref="B43:C43"/>
    <mergeCell ref="B88:H88"/>
    <mergeCell ref="B75:H75"/>
    <mergeCell ref="B76:H76"/>
    <mergeCell ref="B77:H77"/>
    <mergeCell ref="B78:H78"/>
    <mergeCell ref="B49:C49"/>
    <mergeCell ref="B80:H80"/>
    <mergeCell ref="B84:H84"/>
    <mergeCell ref="B47:C47"/>
    <mergeCell ref="B48:C48"/>
    <mergeCell ref="B51:C51"/>
    <mergeCell ref="B53:C53"/>
    <mergeCell ref="B66:H66"/>
    <mergeCell ref="B50:C50"/>
    <mergeCell ref="B55:C55"/>
    <mergeCell ref="B52:C52"/>
    <mergeCell ref="B58:C58"/>
    <mergeCell ref="B65:H65"/>
    <mergeCell ref="B41:C41"/>
    <mergeCell ref="B44:C44"/>
    <mergeCell ref="B38:C38"/>
    <mergeCell ref="B39:C39"/>
    <mergeCell ref="A35:R35"/>
    <mergeCell ref="B56:C56"/>
    <mergeCell ref="B64:H64"/>
    <mergeCell ref="B11:G12"/>
    <mergeCell ref="I11:J11"/>
    <mergeCell ref="I12:J12"/>
    <mergeCell ref="B32:C32"/>
    <mergeCell ref="B40:C40"/>
    <mergeCell ref="B36:C37"/>
    <mergeCell ref="I31:J31"/>
    <mergeCell ref="I32:J32"/>
    <mergeCell ref="B33:C33"/>
    <mergeCell ref="I20:J20"/>
    <mergeCell ref="B17:C17"/>
    <mergeCell ref="B13:G13"/>
    <mergeCell ref="B25:C25"/>
    <mergeCell ref="L16:M16"/>
    <mergeCell ref="B21:G21"/>
    <mergeCell ref="I19:J19"/>
    <mergeCell ref="I21:J21"/>
    <mergeCell ref="Q36:Q37"/>
    <mergeCell ref="L36:L37"/>
    <mergeCell ref="O36:O37"/>
    <mergeCell ref="N36:N37"/>
    <mergeCell ref="M36:M37"/>
    <mergeCell ref="P36:P37"/>
    <mergeCell ref="I13:J13"/>
    <mergeCell ref="I14:J14"/>
    <mergeCell ref="I15:J15"/>
    <mergeCell ref="I16:J16"/>
    <mergeCell ref="I17:J17"/>
    <mergeCell ref="I18:J18"/>
    <mergeCell ref="I25:J25"/>
    <mergeCell ref="B18:G18"/>
    <mergeCell ref="B20:G20"/>
    <mergeCell ref="B22:G22"/>
    <mergeCell ref="I22:J22"/>
    <mergeCell ref="B19:G19"/>
    <mergeCell ref="B24:C24"/>
    <mergeCell ref="B23:G23"/>
    <mergeCell ref="A6:R6"/>
    <mergeCell ref="I26:J26"/>
    <mergeCell ref="I33:J33"/>
    <mergeCell ref="I34:J34"/>
    <mergeCell ref="I27:J27"/>
    <mergeCell ref="I28:J28"/>
    <mergeCell ref="I29:J29"/>
    <mergeCell ref="I30:J30"/>
    <mergeCell ref="I23:J23"/>
    <mergeCell ref="I24:J24"/>
  </mergeCells>
  <printOptions/>
  <pageMargins left="0.24" right="0.16" top="0.2" bottom="0.2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31.57421875" style="0" bestFit="1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lratvutun-tnoren</cp:lastModifiedBy>
  <cp:lastPrinted>2019-05-14T13:00:03Z</cp:lastPrinted>
  <dcterms:created xsi:type="dcterms:W3CDTF">1996-10-14T23:33:28Z</dcterms:created>
  <dcterms:modified xsi:type="dcterms:W3CDTF">2019-05-15T07:10:24Z</dcterms:modified>
  <cp:category/>
  <cp:version/>
  <cp:contentType/>
  <cp:contentStatus/>
</cp:coreProperties>
</file>